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nacafegt.sharepoint.com/sites/AsistenciaTecnicaEsplecialistas/Documentos compartidos/General/Rentabilidad Sustentable/Recursos compartidos TT/"/>
    </mc:Choice>
  </mc:AlternateContent>
  <xr:revisionPtr revIDLastSave="790" documentId="13_ncr:1_{4D9A468F-A1B1-4742-93C2-8B52BF835CE2}" xr6:coauthVersionLast="47" xr6:coauthVersionMax="47" xr10:uidLastSave="{965874F4-743E-4407-A8AA-65C1066DD7B0}"/>
  <bookViews>
    <workbookView xWindow="-110" yWindow="-110" windowWidth="19420" windowHeight="10300" tabRatio="796" xr2:uid="{AE0EFC05-DDEE-4F8A-A03E-8C51A2777438}"/>
  </bookViews>
  <sheets>
    <sheet name="Datos" sheetId="11" r:id="rId1"/>
    <sheet name="Presupuesto Detallado" sheetId="24" r:id="rId2"/>
    <sheet name="Presupuesto por Lote" sheetId="16" r:id="rId3"/>
    <sheet name="Ejecución Presupuestaria" sheetId="22" r:id="rId4"/>
    <sheet name="Cronograma" sheetId="21" r:id="rId5"/>
    <sheet name="Hoja5" sheetId="23" state="hidden" r:id="rId6"/>
    <sheet name="Cálculos" sheetId="14" state="veryHidden" r:id="rId7"/>
    <sheet name="Eficiencias &amp; Configuración" sheetId="13" r:id="rId8"/>
    <sheet name="Hoja1" sheetId="17" state="hidden" r:id="rId9"/>
    <sheet name="Hoja2" sheetId="18" state="hidden" r:id="rId10"/>
    <sheet name="Ciclos" sheetId="15" state="hidden" r:id="rId11"/>
  </sheets>
  <externalReferences>
    <externalReference r:id="rId12"/>
  </externalReferences>
  <definedNames>
    <definedName name="_3_Años">Ciclos!$A$2:$A$5</definedName>
    <definedName name="_4_Años">Ciclos!$B$2:$B$6</definedName>
    <definedName name="_5_Años">Ciclos!$C$2:$C$7</definedName>
    <definedName name="_6_Años">Ciclos!$D$2:$D$8</definedName>
    <definedName name="_xlnm._FilterDatabase" localSheetId="0" hidden="1">Datos!$A$3:$J$3</definedName>
    <definedName name="_xlnm._FilterDatabase" localSheetId="7" hidden="1">'Eficiencias &amp; Configuración'!$A$1:$B$1</definedName>
    <definedName name="_xlnm._FilterDatabase" localSheetId="3" hidden="1">'Ejecución Presupuestaria'!$A$2:$E$13</definedName>
    <definedName name="Actividad_Ex">'Ejecución Presupuestaria'!$B:$B</definedName>
    <definedName name="Actividades">Hoja5!$A$1:$G$1</definedName>
    <definedName name="Administrativos">Hoja5!$G$2:$G$3</definedName>
    <definedName name="Aplicaciones_CYP">Cálculos!$AM:$AM</definedName>
    <definedName name="Aplicaciones_SC">Cálculos!$AL:$AL</definedName>
    <definedName name="Aplicaciones_SP">Cálculos!$AN:$AN</definedName>
    <definedName name="_xlnm.Print_Area" localSheetId="4">Cronograma!$A$1:$P$17</definedName>
    <definedName name="Áreas">Cálculos!$B:$B</definedName>
    <definedName name="Ciclo" localSheetId="4">[1]Datos!$AI$2</definedName>
    <definedName name="Ciclo">Datos!$F$2</definedName>
    <definedName name="Ciclos" localSheetId="4">INDEX(#REF!,MATCH([1]Datos!$AI$2,#REF!,0))</definedName>
    <definedName name="Ciclos">INDEX(#REF!,MATCH([1]Datos!$AI$2,#REF!,0))</definedName>
    <definedName name="Cosecha" localSheetId="5">Hoja5!$F$2:$F$3</definedName>
    <definedName name="Cosecha">Cálculos!$AY:$AY</definedName>
    <definedName name="Cosecha_y_Poscosecha">Hoja5!$F$2:$F$3</definedName>
    <definedName name="Costo_Enmienda">'Eficiencias &amp; Configuración'!#REF!</definedName>
    <definedName name="Costo_Fertilizante">'Eficiencias &amp; Configuración'!$B$7</definedName>
    <definedName name="Costo_Fungicida">'Eficiencias &amp; Configuración'!$B$20</definedName>
    <definedName name="Costo_Herbicida">'Eficiencias &amp; Configuración'!$B$13</definedName>
    <definedName name="Deshije">Cálculos!$AG:$AG</definedName>
    <definedName name="Destinatario">[1]Datos!$A$10</definedName>
    <definedName name="Detalle_Ex">'Ejecución Presupuestaria'!$C:$C</definedName>
    <definedName name="Detalle_Lote" localSheetId="1">'Presupuesto Detallado'!$A$2</definedName>
    <definedName name="Detalle_Lote">'Presupuesto por Lote'!$A$2</definedName>
    <definedName name="Diseño">[1]Datos!$B$6</definedName>
    <definedName name="Diseños">Datos!$F:$F</definedName>
    <definedName name="Dosis_CYP">Cálculos!$AP:$AP</definedName>
    <definedName name="Dosis_SC">Cálculos!$AO:$AO</definedName>
    <definedName name="Dosis_SP">Cálculos!$AQ:$AQ</definedName>
    <definedName name="Enfermedades_Crecimiento">'Eficiencias &amp; Configuración'!$B$21</definedName>
    <definedName name="Enfermedades_Producción">'Eficiencias &amp; Configuración'!$B$22</definedName>
    <definedName name="Fertilizante">Cálculos!#REF!</definedName>
    <definedName name="Fertilizante_Crecimiento">Cálculos!$X:$X</definedName>
    <definedName name="Fertilizante_CyP">Cálculos!$AC:$AC</definedName>
    <definedName name="Fertilizante_Produccion">Cálculos!$AD:$AD</definedName>
    <definedName name="Formula_K">'Eficiencias &amp; Configuración'!$B$11</definedName>
    <definedName name="Formula_N">'Eficiencias &amp; Configuración'!$B$9</definedName>
    <definedName name="Formula_P">'Eficiencias &amp; Configuración'!$B$10</definedName>
    <definedName name="Fungicida">Cálculos!$AV:$AV</definedName>
    <definedName name="Gastos_Administrativos">'Eficiencias &amp; Configuración'!$B$29</definedName>
    <definedName name="Ingresos" localSheetId="5">Hoja5!$A$2:$A$4</definedName>
    <definedName name="Ingresos">Cálculos!$BH:$BH</definedName>
    <definedName name="Inicio">Datos!$J$2</definedName>
    <definedName name="Intro_1">[1]Hoja3!$A$5</definedName>
    <definedName name="Intro_2">[1]Hoja3!$A$6</definedName>
    <definedName name="Jornal">'Eficiencias &amp; Configuración'!$B$24</definedName>
    <definedName name="Jornales">Cálculos!$BA:$BA</definedName>
    <definedName name="Litros_Fungicida">'Eficiencias &amp; Configuración'!$B$16</definedName>
    <definedName name="Litros_Herbicida">Cálculos!$AS:$AS</definedName>
    <definedName name="Lote_Ex">'Ejecución Presupuestaria'!#REF!</definedName>
    <definedName name="Lotes">Cálculos!$A:$A</definedName>
    <definedName name="Manejo_de_malezas">Hoja5!$D$2:$D$3</definedName>
    <definedName name="Manejo_de_plagas_y_enfermedades">Hoja5!$E$2:$E$4</definedName>
    <definedName name="Metros2">Hoja1!$C$9</definedName>
    <definedName name="MO_Crecimiento">Cálculos!$AW:$AW</definedName>
    <definedName name="MO_Enfermedades_Crec.">Cálculos!$AW:$AW</definedName>
    <definedName name="MO_Enfermedades_Prod.">Cálculos!$AX:$AX</definedName>
    <definedName name="MO_Malezas_Quimico">Cálculos!$AT:$AT</definedName>
    <definedName name="MO_Nutrición">Cálculos!$AR:$AR</definedName>
    <definedName name="MO_Plagas">Cálculos!$AU:$AU</definedName>
    <definedName name="Nutrición">Hoja5!$C$2:$C$3</definedName>
    <definedName name="Onzas_Anual_CYP">Cálculos!$AJ:$AJ</definedName>
    <definedName name="Onzas_Anual_SC">Cálculos!$AI:$AI</definedName>
    <definedName name="Onzas_Anual_SP">Cálculos!$AK:$AK</definedName>
    <definedName name="Paliativo">Cálculos!$AF:$AF</definedName>
    <definedName name="Plantas_Deshije_Por_Dia">'Eficiencias &amp; Configuración'!$B$5</definedName>
    <definedName name="Plantas_Paliativa_Por_Dia">'Eficiencias &amp; Configuración'!$B$4</definedName>
    <definedName name="Plantas_Poda_Por_Dia">'Eficiencias &amp; Configuración'!$B$3</definedName>
    <definedName name="Poda">Cálculos!$AE:$AE</definedName>
    <definedName name="Porcentaje_Efectivo">Datos!$E:$E</definedName>
    <definedName name="Poscosecha">Cálculos!$AZ:$AZ</definedName>
    <definedName name="Precio_Venta_Inferior">'Eficiencias &amp; Configuración'!$B$28</definedName>
    <definedName name="Precio_Venta_Primera">'Eficiencias &amp; Configuración'!$B$26</definedName>
    <definedName name="Precio_Venta_Segunda">'Eficiencias &amp; Configuración'!$B$27</definedName>
    <definedName name="Precosecha">Cálculos!$BD:$BD</definedName>
    <definedName name="Producción">Cálculos!$W:$W</definedName>
    <definedName name="Quintales_Fertilizante">Cálculos!$AH:$AH</definedName>
    <definedName name="Quintales_Fertilizante_Por_Jornal">'Eficiencias &amp; Configuración'!$B$6</definedName>
    <definedName name="SMT">Hoja5!$B$2:$B$4</definedName>
    <definedName name="Total_Administrativo">Cálculos!$BG:$BG</definedName>
    <definedName name="Total_Costos">Cálculos!$BF:$BF</definedName>
    <definedName name="UM">Datos!$B$2</definedName>
    <definedName name="UP">[1]Datos!$I$2</definedName>
    <definedName name="Valor_Ex">'Ejecución Presupuestaria'!$D:$D</definedName>
    <definedName name="Ventas">Hoja5!$A$2:$A$4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9" i="11" l="1"/>
  <c r="I78" i="11"/>
  <c r="I77" i="11"/>
  <c r="I76" i="11"/>
  <c r="I75" i="11"/>
  <c r="I74" i="11"/>
  <c r="I73" i="11"/>
  <c r="I72" i="11"/>
  <c r="I71" i="11"/>
  <c r="I70" i="11"/>
  <c r="I69" i="11"/>
  <c r="I68" i="11"/>
  <c r="I67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6" i="11"/>
  <c r="I5" i="11"/>
  <c r="D36" i="24" l="1"/>
  <c r="E5" i="24"/>
  <c r="C36" i="24"/>
  <c r="D34" i="24"/>
  <c r="D33" i="24"/>
  <c r="D28" i="24"/>
  <c r="D25" i="24"/>
  <c r="D24" i="24"/>
  <c r="D22" i="24"/>
  <c r="D21" i="24"/>
  <c r="D15" i="24"/>
  <c r="D14" i="24"/>
  <c r="D12" i="24"/>
  <c r="D11" i="24"/>
  <c r="D10" i="24"/>
  <c r="D7" i="24"/>
  <c r="D6" i="24"/>
  <c r="D5" i="24"/>
  <c r="E34" i="24"/>
  <c r="E33" i="24"/>
  <c r="E28" i="24"/>
  <c r="E27" i="24"/>
  <c r="E26" i="24"/>
  <c r="E25" i="24"/>
  <c r="E24" i="24"/>
  <c r="E22" i="24"/>
  <c r="E21" i="24"/>
  <c r="E15" i="24"/>
  <c r="E14" i="24"/>
  <c r="E12" i="24"/>
  <c r="E11" i="24"/>
  <c r="E10" i="24"/>
  <c r="E7" i="24"/>
  <c r="E6" i="24"/>
  <c r="E2" i="24"/>
  <c r="D31" i="24" l="1"/>
  <c r="D8" i="24"/>
  <c r="D30" i="24"/>
  <c r="D3" i="21" l="1"/>
  <c r="E3" i="21" s="1"/>
  <c r="E10" i="21" s="1"/>
  <c r="D7" i="21" l="1"/>
  <c r="E7" i="21"/>
  <c r="E8" i="21"/>
  <c r="D8" i="21"/>
  <c r="F3" i="21"/>
  <c r="AF78" i="14"/>
  <c r="V78" i="14"/>
  <c r="U78" i="14"/>
  <c r="T78" i="14"/>
  <c r="S78" i="14"/>
  <c r="R78" i="14"/>
  <c r="Q78" i="14"/>
  <c r="P78" i="14"/>
  <c r="O78" i="14"/>
  <c r="N78" i="14"/>
  <c r="M78" i="14"/>
  <c r="L78" i="14"/>
  <c r="K78" i="14"/>
  <c r="B78" i="14"/>
  <c r="C78" i="14" s="1"/>
  <c r="AT78" i="14" s="1"/>
  <c r="AF77" i="14"/>
  <c r="V77" i="14"/>
  <c r="U77" i="14"/>
  <c r="T77" i="14"/>
  <c r="S77" i="14"/>
  <c r="R77" i="14"/>
  <c r="Q77" i="14"/>
  <c r="P77" i="14"/>
  <c r="O77" i="14"/>
  <c r="N77" i="14"/>
  <c r="M77" i="14"/>
  <c r="L77" i="14"/>
  <c r="K77" i="14"/>
  <c r="B77" i="14"/>
  <c r="C77" i="14" s="1"/>
  <c r="AT77" i="14" s="1"/>
  <c r="AF76" i="14"/>
  <c r="V76" i="14"/>
  <c r="U76" i="14"/>
  <c r="T76" i="14"/>
  <c r="S76" i="14"/>
  <c r="R76" i="14"/>
  <c r="Q76" i="14"/>
  <c r="P76" i="14"/>
  <c r="O76" i="14"/>
  <c r="N76" i="14"/>
  <c r="M76" i="14"/>
  <c r="L76" i="14"/>
  <c r="K76" i="14"/>
  <c r="B76" i="14"/>
  <c r="AF75" i="14"/>
  <c r="V75" i="14"/>
  <c r="U75" i="14"/>
  <c r="T75" i="14"/>
  <c r="S75" i="14"/>
  <c r="R75" i="14"/>
  <c r="Q75" i="14"/>
  <c r="P75" i="14"/>
  <c r="O75" i="14"/>
  <c r="N75" i="14"/>
  <c r="M75" i="14"/>
  <c r="L75" i="14"/>
  <c r="K75" i="14"/>
  <c r="B75" i="14"/>
  <c r="AF74" i="14"/>
  <c r="V74" i="14"/>
  <c r="U74" i="14"/>
  <c r="T74" i="14"/>
  <c r="S74" i="14"/>
  <c r="R74" i="14"/>
  <c r="Q74" i="14"/>
  <c r="P74" i="14"/>
  <c r="O74" i="14"/>
  <c r="N74" i="14"/>
  <c r="M74" i="14"/>
  <c r="L74" i="14"/>
  <c r="K74" i="14"/>
  <c r="C74" i="14"/>
  <c r="AT74" i="14" s="1"/>
  <c r="B74" i="14"/>
  <c r="AF73" i="14"/>
  <c r="V73" i="14"/>
  <c r="U73" i="14"/>
  <c r="T73" i="14"/>
  <c r="S73" i="14"/>
  <c r="R73" i="14"/>
  <c r="Q73" i="14"/>
  <c r="P73" i="14"/>
  <c r="O73" i="14"/>
  <c r="N73" i="14"/>
  <c r="M73" i="14"/>
  <c r="L73" i="14"/>
  <c r="K73" i="14"/>
  <c r="B73" i="14"/>
  <c r="AF72" i="14"/>
  <c r="V72" i="14"/>
  <c r="U72" i="14"/>
  <c r="T72" i="14"/>
  <c r="S72" i="14"/>
  <c r="R72" i="14"/>
  <c r="Q72" i="14"/>
  <c r="P72" i="14"/>
  <c r="O72" i="14"/>
  <c r="N72" i="14"/>
  <c r="M72" i="14"/>
  <c r="L72" i="14"/>
  <c r="K72" i="14"/>
  <c r="B72" i="14"/>
  <c r="AF71" i="14"/>
  <c r="V71" i="14"/>
  <c r="U71" i="14"/>
  <c r="T71" i="14"/>
  <c r="S71" i="14"/>
  <c r="R71" i="14"/>
  <c r="Q71" i="14"/>
  <c r="P71" i="14"/>
  <c r="O71" i="14"/>
  <c r="N71" i="14"/>
  <c r="M71" i="14"/>
  <c r="L71" i="14"/>
  <c r="K71" i="14"/>
  <c r="B71" i="14"/>
  <c r="C71" i="14" s="1"/>
  <c r="AT71" i="14" s="1"/>
  <c r="AF70" i="14"/>
  <c r="V70" i="14"/>
  <c r="U70" i="14"/>
  <c r="T70" i="14"/>
  <c r="S70" i="14"/>
  <c r="R70" i="14"/>
  <c r="Q70" i="14"/>
  <c r="P70" i="14"/>
  <c r="O70" i="14"/>
  <c r="N70" i="14"/>
  <c r="M70" i="14"/>
  <c r="L70" i="14"/>
  <c r="K70" i="14"/>
  <c r="B70" i="14"/>
  <c r="AF69" i="14"/>
  <c r="V69" i="14"/>
  <c r="U69" i="14"/>
  <c r="T69" i="14"/>
  <c r="S69" i="14"/>
  <c r="R69" i="14"/>
  <c r="Q69" i="14"/>
  <c r="P69" i="14"/>
  <c r="O69" i="14"/>
  <c r="N69" i="14"/>
  <c r="M69" i="14"/>
  <c r="L69" i="14"/>
  <c r="K69" i="14"/>
  <c r="B69" i="14"/>
  <c r="AF68" i="14"/>
  <c r="V68" i="14"/>
  <c r="U68" i="14"/>
  <c r="T68" i="14"/>
  <c r="S68" i="14"/>
  <c r="R68" i="14"/>
  <c r="Q68" i="14"/>
  <c r="P68" i="14"/>
  <c r="O68" i="14"/>
  <c r="N68" i="14"/>
  <c r="M68" i="14"/>
  <c r="L68" i="14"/>
  <c r="K68" i="14"/>
  <c r="B68" i="14"/>
  <c r="C68" i="14" s="1"/>
  <c r="AT68" i="14" s="1"/>
  <c r="AF67" i="14"/>
  <c r="V67" i="14"/>
  <c r="U67" i="14"/>
  <c r="T67" i="14"/>
  <c r="S67" i="14"/>
  <c r="R67" i="14"/>
  <c r="Q67" i="14"/>
  <c r="P67" i="14"/>
  <c r="O67" i="14"/>
  <c r="N67" i="14"/>
  <c r="M67" i="14"/>
  <c r="L67" i="14"/>
  <c r="K67" i="14"/>
  <c r="B67" i="14"/>
  <c r="AF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B66" i="14"/>
  <c r="C66" i="14" s="1"/>
  <c r="AT66" i="14" s="1"/>
  <c r="AF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B65" i="14"/>
  <c r="C65" i="14" s="1"/>
  <c r="AT65" i="14" s="1"/>
  <c r="AF64" i="14"/>
  <c r="V64" i="14"/>
  <c r="U64" i="14"/>
  <c r="T64" i="14"/>
  <c r="S64" i="14"/>
  <c r="R64" i="14"/>
  <c r="Q64" i="14"/>
  <c r="P64" i="14"/>
  <c r="O64" i="14"/>
  <c r="N64" i="14"/>
  <c r="M64" i="14"/>
  <c r="L64" i="14"/>
  <c r="K64" i="14"/>
  <c r="B64" i="14"/>
  <c r="C64" i="14" s="1"/>
  <c r="AT64" i="14" s="1"/>
  <c r="AF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B63" i="14"/>
  <c r="C63" i="14" s="1"/>
  <c r="AT63" i="14" s="1"/>
  <c r="AF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B62" i="14"/>
  <c r="C62" i="14" s="1"/>
  <c r="AT62" i="14" s="1"/>
  <c r="AF61" i="14"/>
  <c r="V61" i="14"/>
  <c r="U61" i="14"/>
  <c r="T61" i="14"/>
  <c r="S61" i="14"/>
  <c r="R61" i="14"/>
  <c r="Q61" i="14"/>
  <c r="P61" i="14"/>
  <c r="O61" i="14"/>
  <c r="N61" i="14"/>
  <c r="M61" i="14"/>
  <c r="L61" i="14"/>
  <c r="K61" i="14"/>
  <c r="B61" i="14"/>
  <c r="C61" i="14" s="1"/>
  <c r="AT61" i="14" s="1"/>
  <c r="AF60" i="14"/>
  <c r="V60" i="14"/>
  <c r="U60" i="14"/>
  <c r="T60" i="14"/>
  <c r="S60" i="14"/>
  <c r="R60" i="14"/>
  <c r="Q60" i="14"/>
  <c r="P60" i="14"/>
  <c r="O60" i="14"/>
  <c r="N60" i="14"/>
  <c r="M60" i="14"/>
  <c r="L60" i="14"/>
  <c r="K60" i="14"/>
  <c r="B60" i="14"/>
  <c r="C60" i="14" s="1"/>
  <c r="AT60" i="14" s="1"/>
  <c r="AF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B59" i="14"/>
  <c r="AF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B58" i="14"/>
  <c r="AF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B57" i="14"/>
  <c r="C57" i="14" s="1"/>
  <c r="AT57" i="14" s="1"/>
  <c r="AF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B56" i="14"/>
  <c r="C56" i="14" s="1"/>
  <c r="AT56" i="14" s="1"/>
  <c r="AF55" i="14"/>
  <c r="V55" i="14"/>
  <c r="U55" i="14"/>
  <c r="T55" i="14"/>
  <c r="S55" i="14"/>
  <c r="R55" i="14"/>
  <c r="Q55" i="14"/>
  <c r="P55" i="14"/>
  <c r="O55" i="14"/>
  <c r="N55" i="14"/>
  <c r="M55" i="14"/>
  <c r="L55" i="14"/>
  <c r="K55" i="14"/>
  <c r="B55" i="14"/>
  <c r="C55" i="14" s="1"/>
  <c r="AT55" i="14" s="1"/>
  <c r="AF54" i="14"/>
  <c r="V54" i="14"/>
  <c r="U54" i="14"/>
  <c r="T54" i="14"/>
  <c r="S54" i="14"/>
  <c r="R54" i="14"/>
  <c r="Q54" i="14"/>
  <c r="P54" i="14"/>
  <c r="O54" i="14"/>
  <c r="N54" i="14"/>
  <c r="M54" i="14"/>
  <c r="L54" i="14"/>
  <c r="K54" i="14"/>
  <c r="B54" i="14"/>
  <c r="C54" i="14" s="1"/>
  <c r="AT54" i="14" s="1"/>
  <c r="AF53" i="14"/>
  <c r="V53" i="14"/>
  <c r="U53" i="14"/>
  <c r="T53" i="14"/>
  <c r="S53" i="14"/>
  <c r="R53" i="14"/>
  <c r="Q53" i="14"/>
  <c r="P53" i="14"/>
  <c r="O53" i="14"/>
  <c r="N53" i="14"/>
  <c r="M53" i="14"/>
  <c r="L53" i="14"/>
  <c r="K53" i="14"/>
  <c r="B53" i="14"/>
  <c r="AF52" i="14"/>
  <c r="V52" i="14"/>
  <c r="U52" i="14"/>
  <c r="T52" i="14"/>
  <c r="S52" i="14"/>
  <c r="R52" i="14"/>
  <c r="Q52" i="14"/>
  <c r="P52" i="14"/>
  <c r="O52" i="14"/>
  <c r="N52" i="14"/>
  <c r="M52" i="14"/>
  <c r="L52" i="14"/>
  <c r="K52" i="14"/>
  <c r="B52" i="14"/>
  <c r="C52" i="14" s="1"/>
  <c r="AT52" i="14" s="1"/>
  <c r="AF51" i="14"/>
  <c r="V51" i="14"/>
  <c r="U51" i="14"/>
  <c r="T51" i="14"/>
  <c r="S51" i="14"/>
  <c r="R51" i="14"/>
  <c r="Q51" i="14"/>
  <c r="P51" i="14"/>
  <c r="O51" i="14"/>
  <c r="N51" i="14"/>
  <c r="M51" i="14"/>
  <c r="L51" i="14"/>
  <c r="K51" i="14"/>
  <c r="B51" i="14"/>
  <c r="AF50" i="14"/>
  <c r="V50" i="14"/>
  <c r="U50" i="14"/>
  <c r="T50" i="14"/>
  <c r="S50" i="14"/>
  <c r="R50" i="14"/>
  <c r="Q50" i="14"/>
  <c r="P50" i="14"/>
  <c r="O50" i="14"/>
  <c r="N50" i="14"/>
  <c r="M50" i="14"/>
  <c r="L50" i="14"/>
  <c r="K50" i="14"/>
  <c r="B50" i="14"/>
  <c r="C50" i="14" s="1"/>
  <c r="AT50" i="14" s="1"/>
  <c r="AF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B49" i="14"/>
  <c r="AF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B48" i="14"/>
  <c r="C48" i="14" s="1"/>
  <c r="AT48" i="14" s="1"/>
  <c r="AF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B47" i="14"/>
  <c r="C47" i="14" s="1"/>
  <c r="AT47" i="14" s="1"/>
  <c r="AF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B46" i="14"/>
  <c r="C46" i="14" s="1"/>
  <c r="AT46" i="14" s="1"/>
  <c r="AF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B45" i="14"/>
  <c r="C45" i="14" s="1"/>
  <c r="AT45" i="14" s="1"/>
  <c r="AF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B44" i="14"/>
  <c r="C44" i="14" s="1"/>
  <c r="AT44" i="14" s="1"/>
  <c r="AF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B43" i="14"/>
  <c r="C43" i="14" s="1"/>
  <c r="AT43" i="14" s="1"/>
  <c r="AF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B42" i="14"/>
  <c r="C42" i="14" s="1"/>
  <c r="AT42" i="14" s="1"/>
  <c r="AF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B41" i="14"/>
  <c r="C41" i="14" s="1"/>
  <c r="AT41" i="14" s="1"/>
  <c r="AF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B40" i="14"/>
  <c r="C40" i="14" s="1"/>
  <c r="AT40" i="14" s="1"/>
  <c r="AF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B39" i="14"/>
  <c r="AF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B38" i="14"/>
  <c r="C38" i="14" s="1"/>
  <c r="AT38" i="14" s="1"/>
  <c r="AF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B37" i="14"/>
  <c r="C37" i="14" s="1"/>
  <c r="AT37" i="14" s="1"/>
  <c r="AF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B36" i="14"/>
  <c r="C36" i="14" s="1"/>
  <c r="AT36" i="14" s="1"/>
  <c r="AF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B35" i="14"/>
  <c r="C35" i="14" s="1"/>
  <c r="AT35" i="14" s="1"/>
  <c r="AF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B34" i="14"/>
  <c r="C34" i="14" s="1"/>
  <c r="AT34" i="14" s="1"/>
  <c r="AF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B33" i="14"/>
  <c r="AF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B32" i="14"/>
  <c r="AF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B31" i="14"/>
  <c r="C31" i="14" s="1"/>
  <c r="AT31" i="14" s="1"/>
  <c r="AF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B30" i="14"/>
  <c r="C30" i="14" s="1"/>
  <c r="AT30" i="14" s="1"/>
  <c r="AF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B29" i="14"/>
  <c r="C29" i="14" s="1"/>
  <c r="AT29" i="14" s="1"/>
  <c r="AF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B28" i="14"/>
  <c r="C28" i="14" s="1"/>
  <c r="AT28" i="14" s="1"/>
  <c r="AF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B27" i="14"/>
  <c r="C27" i="14" s="1"/>
  <c r="AT27" i="14" s="1"/>
  <c r="AF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B26" i="14"/>
  <c r="AF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B25" i="14"/>
  <c r="AF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B24" i="14"/>
  <c r="C24" i="14" s="1"/>
  <c r="AT24" i="14" s="1"/>
  <c r="AF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B23" i="14"/>
  <c r="C23" i="14" s="1"/>
  <c r="AT23" i="14" s="1"/>
  <c r="AF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B22" i="14"/>
  <c r="AF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B21" i="14"/>
  <c r="C21" i="14" s="1"/>
  <c r="AT21" i="14" s="1"/>
  <c r="AF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B20" i="14"/>
  <c r="C20" i="14" s="1"/>
  <c r="AT20" i="14" s="1"/>
  <c r="AF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B19" i="14"/>
  <c r="C19" i="14" s="1"/>
  <c r="AT19" i="14" s="1"/>
  <c r="AF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B18" i="14"/>
  <c r="AF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B17" i="14"/>
  <c r="C17" i="14" s="1"/>
  <c r="AT17" i="14" s="1"/>
  <c r="AF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B16" i="14"/>
  <c r="C16" i="14" s="1"/>
  <c r="AT16" i="14" s="1"/>
  <c r="AF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B15" i="14"/>
  <c r="AF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B14" i="14"/>
  <c r="AF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B13" i="14"/>
  <c r="C13" i="14" s="1"/>
  <c r="AT13" i="14" s="1"/>
  <c r="AF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B12" i="14"/>
  <c r="C12" i="14" s="1"/>
  <c r="AT12" i="14" s="1"/>
  <c r="AF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B11" i="14"/>
  <c r="C11" i="14" s="1"/>
  <c r="AT11" i="14" s="1"/>
  <c r="AF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B10" i="14"/>
  <c r="AF9" i="14"/>
  <c r="V9" i="14"/>
  <c r="U9" i="14"/>
  <c r="T9" i="14"/>
  <c r="S9" i="14"/>
  <c r="R9" i="14"/>
  <c r="Q9" i="14"/>
  <c r="P9" i="14"/>
  <c r="O9" i="14"/>
  <c r="N9" i="14"/>
  <c r="M9" i="14"/>
  <c r="L9" i="14"/>
  <c r="K9" i="14"/>
  <c r="B9" i="14"/>
  <c r="C9" i="14" s="1"/>
  <c r="AT9" i="14" s="1"/>
  <c r="AF8" i="14"/>
  <c r="V8" i="14"/>
  <c r="U8" i="14"/>
  <c r="T8" i="14"/>
  <c r="S8" i="14"/>
  <c r="R8" i="14"/>
  <c r="Q8" i="14"/>
  <c r="P8" i="14"/>
  <c r="O8" i="14"/>
  <c r="N8" i="14"/>
  <c r="M8" i="14"/>
  <c r="L8" i="14"/>
  <c r="K8" i="14"/>
  <c r="B8" i="14"/>
  <c r="AF7" i="14"/>
  <c r="V7" i="14"/>
  <c r="U7" i="14"/>
  <c r="T7" i="14"/>
  <c r="S7" i="14"/>
  <c r="R7" i="14"/>
  <c r="Q7" i="14"/>
  <c r="P7" i="14"/>
  <c r="O7" i="14"/>
  <c r="N7" i="14"/>
  <c r="M7" i="14"/>
  <c r="L7" i="14"/>
  <c r="K7" i="14"/>
  <c r="B7" i="14"/>
  <c r="AF6" i="14"/>
  <c r="V6" i="14"/>
  <c r="U6" i="14"/>
  <c r="T6" i="14"/>
  <c r="S6" i="14"/>
  <c r="R6" i="14"/>
  <c r="Q6" i="14"/>
  <c r="P6" i="14"/>
  <c r="O6" i="14"/>
  <c r="N6" i="14"/>
  <c r="M6" i="14"/>
  <c r="L6" i="14"/>
  <c r="K6" i="14"/>
  <c r="B6" i="14"/>
  <c r="C6" i="14" s="1"/>
  <c r="AT6" i="14" s="1"/>
  <c r="AF5" i="14"/>
  <c r="V5" i="14"/>
  <c r="U5" i="14"/>
  <c r="T5" i="14"/>
  <c r="S5" i="14"/>
  <c r="R5" i="14"/>
  <c r="Q5" i="14"/>
  <c r="P5" i="14"/>
  <c r="O5" i="14"/>
  <c r="N5" i="14"/>
  <c r="B5" i="14"/>
  <c r="A78" i="14"/>
  <c r="A77" i="14"/>
  <c r="A76" i="14"/>
  <c r="A75" i="14"/>
  <c r="A74" i="14"/>
  <c r="A73" i="14"/>
  <c r="A72" i="14"/>
  <c r="A71" i="14"/>
  <c r="A70" i="14"/>
  <c r="A69" i="14"/>
  <c r="A68" i="14"/>
  <c r="A67" i="14"/>
  <c r="A66" i="14"/>
  <c r="A65" i="14"/>
  <c r="A64" i="14"/>
  <c r="A63" i="14"/>
  <c r="A62" i="14"/>
  <c r="A61" i="14"/>
  <c r="A60" i="14"/>
  <c r="A59" i="14"/>
  <c r="A58" i="14"/>
  <c r="A57" i="14"/>
  <c r="A56" i="14"/>
  <c r="A55" i="14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4" i="14"/>
  <c r="F8" i="21" l="1"/>
  <c r="F7" i="21"/>
  <c r="E13" i="21"/>
  <c r="AS29" i="14"/>
  <c r="AS34" i="14"/>
  <c r="AS47" i="14"/>
  <c r="AS61" i="14"/>
  <c r="AS65" i="14"/>
  <c r="AS35" i="14"/>
  <c r="AS57" i="14"/>
  <c r="AS71" i="14"/>
  <c r="AS16" i="14"/>
  <c r="AS11" i="14"/>
  <c r="AS27" i="14"/>
  <c r="AS31" i="14"/>
  <c r="AS36" i="14"/>
  <c r="AS54" i="14"/>
  <c r="AS77" i="14"/>
  <c r="AS6" i="14"/>
  <c r="AS12" i="14"/>
  <c r="AS23" i="14"/>
  <c r="AS28" i="14"/>
  <c r="AS37" i="14"/>
  <c r="AS55" i="14"/>
  <c r="AS68" i="14"/>
  <c r="AS78" i="14"/>
  <c r="AS42" i="14"/>
  <c r="AS64" i="14"/>
  <c r="AS19" i="14"/>
  <c r="AS74" i="14"/>
  <c r="AV48" i="14"/>
  <c r="AS48" i="14"/>
  <c r="AV56" i="14"/>
  <c r="AS56" i="14"/>
  <c r="AV17" i="14"/>
  <c r="AS17" i="14"/>
  <c r="AV30" i="14"/>
  <c r="AS30" i="14"/>
  <c r="AU43" i="14"/>
  <c r="AS43" i="14"/>
  <c r="AV50" i="14"/>
  <c r="AS50" i="14"/>
  <c r="AV44" i="14"/>
  <c r="AS44" i="14"/>
  <c r="AU24" i="14"/>
  <c r="AS24" i="14"/>
  <c r="AU66" i="14"/>
  <c r="AS66" i="14"/>
  <c r="AV13" i="14"/>
  <c r="AS13" i="14"/>
  <c r="AU46" i="14"/>
  <c r="AS46" i="14"/>
  <c r="AU62" i="14"/>
  <c r="AS62" i="14"/>
  <c r="G3" i="21"/>
  <c r="AV20" i="14"/>
  <c r="AS20" i="14"/>
  <c r="E24" i="14"/>
  <c r="AE24" i="14" s="1"/>
  <c r="AV38" i="14"/>
  <c r="AS38" i="14"/>
  <c r="AU63" i="14"/>
  <c r="AS63" i="14"/>
  <c r="AU45" i="14"/>
  <c r="AS45" i="14"/>
  <c r="AV21" i="14"/>
  <c r="AS21" i="14"/>
  <c r="AU9" i="14"/>
  <c r="AS9" i="14"/>
  <c r="AV40" i="14"/>
  <c r="AS40" i="14"/>
  <c r="AU41" i="14"/>
  <c r="AS41" i="14"/>
  <c r="AU52" i="14"/>
  <c r="AS52" i="14"/>
  <c r="AV60" i="14"/>
  <c r="AS60" i="14"/>
  <c r="E42" i="14"/>
  <c r="AG42" i="14" s="1"/>
  <c r="E43" i="14"/>
  <c r="AG43" i="14" s="1"/>
  <c r="G77" i="14"/>
  <c r="G65" i="14"/>
  <c r="AA73" i="14"/>
  <c r="G24" i="14"/>
  <c r="E32" i="14"/>
  <c r="AE32" i="14" s="1"/>
  <c r="G38" i="14"/>
  <c r="E59" i="14"/>
  <c r="AG59" i="14" s="1"/>
  <c r="AA23" i="14"/>
  <c r="AB39" i="14"/>
  <c r="AU40" i="14"/>
  <c r="E54" i="14"/>
  <c r="AE54" i="14" s="1"/>
  <c r="F17" i="14"/>
  <c r="W21" i="14"/>
  <c r="BH21" i="14" s="1"/>
  <c r="E29" i="14"/>
  <c r="AE29" i="14" s="1"/>
  <c r="AB61" i="14"/>
  <c r="E56" i="14"/>
  <c r="AE56" i="14" s="1"/>
  <c r="E65" i="14"/>
  <c r="AE65" i="14" s="1"/>
  <c r="G13" i="14"/>
  <c r="AV45" i="14"/>
  <c r="E53" i="14"/>
  <c r="AE53" i="14" s="1"/>
  <c r="G45" i="14"/>
  <c r="AA16" i="14"/>
  <c r="AU48" i="14"/>
  <c r="E61" i="14"/>
  <c r="AG61" i="14" s="1"/>
  <c r="E64" i="14"/>
  <c r="AG64" i="14" s="1"/>
  <c r="G17" i="14"/>
  <c r="AB43" i="14"/>
  <c r="E63" i="14"/>
  <c r="AG63" i="14" s="1"/>
  <c r="E75" i="14"/>
  <c r="AG75" i="14" s="1"/>
  <c r="E11" i="14"/>
  <c r="AE11" i="14" s="1"/>
  <c r="E20" i="14"/>
  <c r="AG20" i="14" s="1"/>
  <c r="AV46" i="14"/>
  <c r="G59" i="14"/>
  <c r="AB64" i="14"/>
  <c r="F70" i="14"/>
  <c r="E72" i="14"/>
  <c r="AG72" i="14" s="1"/>
  <c r="F77" i="14"/>
  <c r="AA11" i="14"/>
  <c r="F20" i="14"/>
  <c r="AA21" i="14"/>
  <c r="F29" i="14"/>
  <c r="F55" i="14"/>
  <c r="AA37" i="14"/>
  <c r="F57" i="14"/>
  <c r="W63" i="14"/>
  <c r="BH63" i="14" s="1"/>
  <c r="G70" i="14"/>
  <c r="E76" i="14"/>
  <c r="AG76" i="14" s="1"/>
  <c r="G9" i="14"/>
  <c r="E18" i="14"/>
  <c r="AE18" i="14" s="1"/>
  <c r="AA25" i="14"/>
  <c r="AB46" i="14"/>
  <c r="AB57" i="14"/>
  <c r="AV62" i="14"/>
  <c r="AB72" i="14"/>
  <c r="AV9" i="14"/>
  <c r="G16" i="14"/>
  <c r="E35" i="14"/>
  <c r="AE35" i="14" s="1"/>
  <c r="AB37" i="14"/>
  <c r="AA53" i="14"/>
  <c r="G78" i="14"/>
  <c r="AA28" i="14"/>
  <c r="AV41" i="14"/>
  <c r="G56" i="14"/>
  <c r="E69" i="14"/>
  <c r="AG69" i="14" s="1"/>
  <c r="G76" i="14"/>
  <c r="F41" i="14"/>
  <c r="AA43" i="14"/>
  <c r="AB55" i="14"/>
  <c r="W66" i="14"/>
  <c r="BH66" i="14" s="1"/>
  <c r="G7" i="14"/>
  <c r="AA8" i="14"/>
  <c r="E15" i="14"/>
  <c r="AE15" i="14" s="1"/>
  <c r="E23" i="14"/>
  <c r="AG23" i="14" s="1"/>
  <c r="E27" i="14"/>
  <c r="AE27" i="14" s="1"/>
  <c r="G62" i="14"/>
  <c r="AV66" i="14"/>
  <c r="G75" i="14"/>
  <c r="AA6" i="14"/>
  <c r="F31" i="14"/>
  <c r="E48" i="14"/>
  <c r="AG48" i="14" s="1"/>
  <c r="E57" i="14"/>
  <c r="AE57" i="14" s="1"/>
  <c r="G73" i="14"/>
  <c r="AB74" i="14"/>
  <c r="AA75" i="14"/>
  <c r="F39" i="14"/>
  <c r="G40" i="14"/>
  <c r="E47" i="14"/>
  <c r="AE47" i="14" s="1"/>
  <c r="AV65" i="14"/>
  <c r="AU65" i="14"/>
  <c r="W69" i="14"/>
  <c r="BH69" i="14" s="1"/>
  <c r="AA69" i="14"/>
  <c r="F69" i="14"/>
  <c r="AV54" i="14"/>
  <c r="G69" i="14"/>
  <c r="AB69" i="14"/>
  <c r="W26" i="14"/>
  <c r="F65" i="14"/>
  <c r="W7" i="14"/>
  <c r="AY7" i="14" s="1"/>
  <c r="W45" i="14"/>
  <c r="BH45" i="14" s="1"/>
  <c r="W73" i="14"/>
  <c r="BH73" i="14" s="1"/>
  <c r="E19" i="14"/>
  <c r="AE19" i="14" s="1"/>
  <c r="AB38" i="14"/>
  <c r="E38" i="14"/>
  <c r="AE38" i="14" s="1"/>
  <c r="G39" i="14"/>
  <c r="F42" i="14"/>
  <c r="G44" i="14"/>
  <c r="G63" i="14"/>
  <c r="W68" i="14"/>
  <c r="BH68" i="14" s="1"/>
  <c r="E6" i="14"/>
  <c r="AE6" i="14" s="1"/>
  <c r="E7" i="14"/>
  <c r="G27" i="14"/>
  <c r="AB40" i="14"/>
  <c r="AB59" i="14"/>
  <c r="W61" i="14"/>
  <c r="BH61" i="14" s="1"/>
  <c r="F9" i="14"/>
  <c r="W12" i="14"/>
  <c r="AZ12" i="14" s="1"/>
  <c r="G20" i="14"/>
  <c r="F21" i="14"/>
  <c r="AV28" i="14"/>
  <c r="AU28" i="14"/>
  <c r="W32" i="14"/>
  <c r="E33" i="14"/>
  <c r="AE33" i="14" s="1"/>
  <c r="E40" i="14"/>
  <c r="AV52" i="14"/>
  <c r="E55" i="14"/>
  <c r="AE55" i="14" s="1"/>
  <c r="F56" i="14"/>
  <c r="E8" i="14"/>
  <c r="AE8" i="14" s="1"/>
  <c r="W22" i="14"/>
  <c r="AY22" i="14" s="1"/>
  <c r="AU30" i="14"/>
  <c r="AA39" i="14"/>
  <c r="AA54" i="14"/>
  <c r="F54" i="14"/>
  <c r="G74" i="14"/>
  <c r="AA78" i="14"/>
  <c r="F8" i="14"/>
  <c r="AU44" i="14"/>
  <c r="AV63" i="14"/>
  <c r="E74" i="14"/>
  <c r="AG74" i="14" s="1"/>
  <c r="AB76" i="14"/>
  <c r="E16" i="14"/>
  <c r="AG16" i="14" s="1"/>
  <c r="E26" i="14"/>
  <c r="G41" i="14"/>
  <c r="F45" i="14"/>
  <c r="E46" i="14"/>
  <c r="AG46" i="14" s="1"/>
  <c r="AA49" i="14"/>
  <c r="AB68" i="14"/>
  <c r="G68" i="14"/>
  <c r="E71" i="14"/>
  <c r="AG71" i="14" s="1"/>
  <c r="F74" i="14"/>
  <c r="F12" i="14"/>
  <c r="AU13" i="14"/>
  <c r="F26" i="14"/>
  <c r="AB62" i="14"/>
  <c r="E70" i="14"/>
  <c r="W75" i="14"/>
  <c r="F76" i="14"/>
  <c r="E22" i="14"/>
  <c r="AA30" i="14"/>
  <c r="E37" i="14"/>
  <c r="AE37" i="14" s="1"/>
  <c r="W39" i="14"/>
  <c r="BH39" i="14" s="1"/>
  <c r="F40" i="14"/>
  <c r="AB41" i="14"/>
  <c r="AB60" i="14"/>
  <c r="E62" i="14"/>
  <c r="AG62" i="14" s="1"/>
  <c r="E67" i="14"/>
  <c r="AG67" i="14" s="1"/>
  <c r="E73" i="14"/>
  <c r="AG73" i="14" s="1"/>
  <c r="E77" i="14"/>
  <c r="AG77" i="14" s="1"/>
  <c r="E78" i="14"/>
  <c r="AG78" i="14" s="1"/>
  <c r="W9" i="14"/>
  <c r="BH9" i="14" s="1"/>
  <c r="G12" i="14"/>
  <c r="E13" i="14"/>
  <c r="AG13" i="14" s="1"/>
  <c r="F37" i="14"/>
  <c r="AA42" i="14"/>
  <c r="AB50" i="14"/>
  <c r="AA51" i="14"/>
  <c r="E52" i="14"/>
  <c r="F62" i="14"/>
  <c r="AA67" i="14"/>
  <c r="F75" i="14"/>
  <c r="E9" i="14"/>
  <c r="AE9" i="14" s="1"/>
  <c r="E12" i="14"/>
  <c r="E31" i="14"/>
  <c r="AG31" i="14" s="1"/>
  <c r="W41" i="14"/>
  <c r="AZ41" i="14" s="1"/>
  <c r="F48" i="14"/>
  <c r="AA57" i="14"/>
  <c r="E68" i="14"/>
  <c r="AG68" i="14" s="1"/>
  <c r="W74" i="14"/>
  <c r="BH74" i="14" s="1"/>
  <c r="AA74" i="14"/>
  <c r="AA76" i="14"/>
  <c r="AA77" i="14"/>
  <c r="AB65" i="14"/>
  <c r="AA70" i="14"/>
  <c r="F73" i="14"/>
  <c r="E10" i="14"/>
  <c r="AE10" i="14" s="1"/>
  <c r="E14" i="14"/>
  <c r="AG14" i="14" s="1"/>
  <c r="F16" i="14"/>
  <c r="W17" i="14"/>
  <c r="BH17" i="14" s="1"/>
  <c r="E21" i="14"/>
  <c r="AA36" i="14"/>
  <c r="AA52" i="14"/>
  <c r="G64" i="14"/>
  <c r="AB75" i="14"/>
  <c r="W76" i="14"/>
  <c r="BH76" i="14" s="1"/>
  <c r="W8" i="14"/>
  <c r="AY8" i="14" s="1"/>
  <c r="W14" i="14"/>
  <c r="BH14" i="14" s="1"/>
  <c r="W15" i="14"/>
  <c r="AZ15" i="14" s="1"/>
  <c r="F23" i="14"/>
  <c r="G26" i="14"/>
  <c r="F27" i="14"/>
  <c r="W33" i="14"/>
  <c r="AZ33" i="14" s="1"/>
  <c r="F34" i="14"/>
  <c r="E44" i="14"/>
  <c r="G46" i="14"/>
  <c r="E50" i="14"/>
  <c r="AE50" i="14" s="1"/>
  <c r="AB51" i="14"/>
  <c r="G61" i="14"/>
  <c r="AB70" i="14"/>
  <c r="AB73" i="14"/>
  <c r="AB77" i="14"/>
  <c r="C5" i="14"/>
  <c r="AT5" i="14" s="1"/>
  <c r="AB10" i="14"/>
  <c r="G10" i="14"/>
  <c r="W10" i="14"/>
  <c r="AV23" i="14"/>
  <c r="AU23" i="14"/>
  <c r="AV11" i="14"/>
  <c r="AU11" i="14"/>
  <c r="AV16" i="14"/>
  <c r="AU16" i="14"/>
  <c r="AV19" i="14"/>
  <c r="AU19" i="14"/>
  <c r="G28" i="14"/>
  <c r="AB28" i="14"/>
  <c r="W13" i="14"/>
  <c r="F13" i="14"/>
  <c r="AV34" i="14"/>
  <c r="AU34" i="14"/>
  <c r="AB6" i="14"/>
  <c r="G6" i="14"/>
  <c r="W6" i="14"/>
  <c r="AV24" i="14"/>
  <c r="AV12" i="14"/>
  <c r="AU12" i="14"/>
  <c r="C32" i="14"/>
  <c r="AT32" i="14" s="1"/>
  <c r="AU35" i="14"/>
  <c r="AV35" i="14"/>
  <c r="AV31" i="14"/>
  <c r="AU31" i="14"/>
  <c r="F15" i="14"/>
  <c r="F11" i="14"/>
  <c r="AA12" i="14"/>
  <c r="AA17" i="14"/>
  <c r="AB18" i="14"/>
  <c r="G18" i="14"/>
  <c r="W20" i="14"/>
  <c r="G30" i="14"/>
  <c r="AB30" i="14"/>
  <c r="AB22" i="14"/>
  <c r="G22" i="14"/>
  <c r="AB11" i="14"/>
  <c r="F14" i="14"/>
  <c r="AA14" i="14"/>
  <c r="E28" i="14"/>
  <c r="AV42" i="14"/>
  <c r="AU42" i="14"/>
  <c r="G8" i="14"/>
  <c r="F10" i="14"/>
  <c r="AA10" i="14"/>
  <c r="AB14" i="14"/>
  <c r="G14" i="14"/>
  <c r="C15" i="14"/>
  <c r="AT15" i="14" s="1"/>
  <c r="W16" i="14"/>
  <c r="C22" i="14"/>
  <c r="AT22" i="14" s="1"/>
  <c r="W28" i="14"/>
  <c r="F7" i="14"/>
  <c r="C10" i="14"/>
  <c r="AT10" i="14" s="1"/>
  <c r="F6" i="14"/>
  <c r="AB7" i="14"/>
  <c r="AA9" i="14"/>
  <c r="AB15" i="14"/>
  <c r="G15" i="14"/>
  <c r="E17" i="14"/>
  <c r="AU17" i="14"/>
  <c r="AU21" i="14"/>
  <c r="C25" i="14"/>
  <c r="AT25" i="14" s="1"/>
  <c r="C18" i="14"/>
  <c r="AT18" i="14" s="1"/>
  <c r="C14" i="14"/>
  <c r="AT14" i="14" s="1"/>
  <c r="G11" i="14"/>
  <c r="AV29" i="14"/>
  <c r="AU29" i="14"/>
  <c r="AV43" i="14"/>
  <c r="F22" i="14"/>
  <c r="AA22" i="14"/>
  <c r="AV6" i="14"/>
  <c r="AA7" i="14"/>
  <c r="C8" i="14"/>
  <c r="AT8" i="14" s="1"/>
  <c r="AA13" i="14"/>
  <c r="AA15" i="14"/>
  <c r="W18" i="14"/>
  <c r="F19" i="14"/>
  <c r="W19" i="14"/>
  <c r="W24" i="14"/>
  <c r="E25" i="14"/>
  <c r="E30" i="14"/>
  <c r="AB9" i="14"/>
  <c r="AU6" i="14"/>
  <c r="C7" i="14"/>
  <c r="AT7" i="14" s="1"/>
  <c r="W11" i="14"/>
  <c r="F18" i="14"/>
  <c r="AA18" i="14"/>
  <c r="AA19" i="14"/>
  <c r="G21" i="14"/>
  <c r="W25" i="14"/>
  <c r="W30" i="14"/>
  <c r="W23" i="14"/>
  <c r="F36" i="14"/>
  <c r="W36" i="14"/>
  <c r="AA41" i="14"/>
  <c r="AB49" i="14"/>
  <c r="G49" i="14"/>
  <c r="AA20" i="14"/>
  <c r="F25" i="14"/>
  <c r="AA32" i="14"/>
  <c r="AA33" i="14"/>
  <c r="G36" i="14"/>
  <c r="AB36" i="14"/>
  <c r="AV37" i="14"/>
  <c r="AU37" i="14"/>
  <c r="E39" i="14"/>
  <c r="F44" i="14"/>
  <c r="F64" i="14"/>
  <c r="W64" i="14"/>
  <c r="AA64" i="14"/>
  <c r="AB19" i="14"/>
  <c r="AB23" i="14"/>
  <c r="AB25" i="14"/>
  <c r="F28" i="14"/>
  <c r="F30" i="14"/>
  <c r="G47" i="14"/>
  <c r="AB47" i="14"/>
  <c r="F35" i="14"/>
  <c r="W35" i="14"/>
  <c r="AU38" i="14"/>
  <c r="F46" i="14"/>
  <c r="W46" i="14"/>
  <c r="AV47" i="14"/>
  <c r="AU47" i="14"/>
  <c r="W54" i="14"/>
  <c r="AU20" i="14"/>
  <c r="AB26" i="14"/>
  <c r="W27" i="14"/>
  <c r="W29" i="14"/>
  <c r="W31" i="14"/>
  <c r="C33" i="14"/>
  <c r="AT33" i="14" s="1"/>
  <c r="E34" i="14"/>
  <c r="W34" i="14"/>
  <c r="G35" i="14"/>
  <c r="AB35" i="14"/>
  <c r="W37" i="14"/>
  <c r="AA46" i="14"/>
  <c r="C51" i="14"/>
  <c r="AT51" i="14" s="1"/>
  <c r="C59" i="14"/>
  <c r="AT59" i="14" s="1"/>
  <c r="AV71" i="14"/>
  <c r="AU71" i="14"/>
  <c r="AB13" i="14"/>
  <c r="AB17" i="14"/>
  <c r="G19" i="14"/>
  <c r="AB21" i="14"/>
  <c r="G23" i="14"/>
  <c r="F24" i="14"/>
  <c r="G25" i="14"/>
  <c r="AA35" i="14"/>
  <c r="AA38" i="14"/>
  <c r="F38" i="14"/>
  <c r="AV61" i="14"/>
  <c r="AU61" i="14"/>
  <c r="AB24" i="14"/>
  <c r="AA26" i="14"/>
  <c r="AB27" i="14"/>
  <c r="G29" i="14"/>
  <c r="AB29" i="14"/>
  <c r="G31" i="14"/>
  <c r="AB31" i="14"/>
  <c r="G34" i="14"/>
  <c r="AB34" i="14"/>
  <c r="AV36" i="14"/>
  <c r="AU36" i="14"/>
  <c r="C26" i="14"/>
  <c r="AT26" i="14" s="1"/>
  <c r="AU27" i="14"/>
  <c r="F32" i="14"/>
  <c r="F33" i="14"/>
  <c r="W40" i="14"/>
  <c r="G43" i="14"/>
  <c r="AB8" i="14"/>
  <c r="AB12" i="14"/>
  <c r="AB16" i="14"/>
  <c r="AB20" i="14"/>
  <c r="AA24" i="14"/>
  <c r="AA27" i="14"/>
  <c r="AV27" i="14"/>
  <c r="AA29" i="14"/>
  <c r="AA31" i="14"/>
  <c r="G32" i="14"/>
  <c r="AB32" i="14"/>
  <c r="G33" i="14"/>
  <c r="AB33" i="14"/>
  <c r="AA34" i="14"/>
  <c r="E36" i="14"/>
  <c r="C39" i="14"/>
  <c r="AT39" i="14" s="1"/>
  <c r="G48" i="14"/>
  <c r="W49" i="14"/>
  <c r="G58" i="14"/>
  <c r="AB58" i="14"/>
  <c r="G42" i="14"/>
  <c r="W47" i="14"/>
  <c r="AA47" i="14"/>
  <c r="AB48" i="14"/>
  <c r="G52" i="14"/>
  <c r="AB52" i="14"/>
  <c r="AB56" i="14"/>
  <c r="W43" i="14"/>
  <c r="AB44" i="14"/>
  <c r="E49" i="14"/>
  <c r="G67" i="14"/>
  <c r="AB67" i="14"/>
  <c r="AB42" i="14"/>
  <c r="AA44" i="14"/>
  <c r="F49" i="14"/>
  <c r="W50" i="14"/>
  <c r="F58" i="14"/>
  <c r="W58" i="14"/>
  <c r="AA58" i="14"/>
  <c r="G37" i="14"/>
  <c r="W38" i="14"/>
  <c r="AA48" i="14"/>
  <c r="F52" i="14"/>
  <c r="F53" i="14"/>
  <c r="AA40" i="14"/>
  <c r="AU57" i="14"/>
  <c r="AV57" i="14"/>
  <c r="E41" i="14"/>
  <c r="F43" i="14"/>
  <c r="E45" i="14"/>
  <c r="F47" i="14"/>
  <c r="E51" i="14"/>
  <c r="W53" i="14"/>
  <c r="W42" i="14"/>
  <c r="AA45" i="14"/>
  <c r="F51" i="14"/>
  <c r="W52" i="14"/>
  <c r="E58" i="14"/>
  <c r="AB45" i="14"/>
  <c r="C49" i="14"/>
  <c r="AT49" i="14" s="1"/>
  <c r="G50" i="14"/>
  <c r="AU50" i="14"/>
  <c r="G51" i="14"/>
  <c r="W51" i="14"/>
  <c r="AA56" i="14"/>
  <c r="F68" i="14"/>
  <c r="AA60" i="14"/>
  <c r="F60" i="14"/>
  <c r="AV64" i="14"/>
  <c r="AU64" i="14"/>
  <c r="C53" i="14"/>
  <c r="AT53" i="14" s="1"/>
  <c r="W59" i="14"/>
  <c r="AA59" i="14"/>
  <c r="AA63" i="14"/>
  <c r="F63" i="14"/>
  <c r="AU54" i="14"/>
  <c r="AU55" i="14"/>
  <c r="W44" i="14"/>
  <c r="W48" i="14"/>
  <c r="F50" i="14"/>
  <c r="G53" i="14"/>
  <c r="C58" i="14"/>
  <c r="AT58" i="14" s="1"/>
  <c r="F59" i="14"/>
  <c r="AU60" i="14"/>
  <c r="F78" i="14"/>
  <c r="W55" i="14"/>
  <c r="AA55" i="14"/>
  <c r="AU56" i="14"/>
  <c r="F61" i="14"/>
  <c r="E66" i="14"/>
  <c r="G54" i="14"/>
  <c r="AB54" i="14"/>
  <c r="W57" i="14"/>
  <c r="G60" i="14"/>
  <c r="AA66" i="14"/>
  <c r="F66" i="14"/>
  <c r="AA50" i="14"/>
  <c r="AB53" i="14"/>
  <c r="AV55" i="14"/>
  <c r="G57" i="14"/>
  <c r="E60" i="14"/>
  <c r="W60" i="14"/>
  <c r="AA61" i="14"/>
  <c r="AB66" i="14"/>
  <c r="G66" i="14"/>
  <c r="F67" i="14"/>
  <c r="AB71" i="14"/>
  <c r="G71" i="14"/>
  <c r="C72" i="14"/>
  <c r="AT72" i="14" s="1"/>
  <c r="AA68" i="14"/>
  <c r="W62" i="14"/>
  <c r="AB63" i="14"/>
  <c r="W65" i="14"/>
  <c r="C67" i="14"/>
  <c r="AT67" i="14" s="1"/>
  <c r="F72" i="14"/>
  <c r="AA72" i="14"/>
  <c r="G55" i="14"/>
  <c r="W56" i="14"/>
  <c r="AA62" i="14"/>
  <c r="AA65" i="14"/>
  <c r="F71" i="14"/>
  <c r="AA71" i="14"/>
  <c r="W67" i="14"/>
  <c r="AV68" i="14"/>
  <c r="AV77" i="14"/>
  <c r="AU77" i="14"/>
  <c r="AU68" i="14"/>
  <c r="W71" i="14"/>
  <c r="AV78" i="14"/>
  <c r="AU78" i="14"/>
  <c r="C70" i="14"/>
  <c r="AT70" i="14" s="1"/>
  <c r="W72" i="14"/>
  <c r="W77" i="14"/>
  <c r="C73" i="14"/>
  <c r="AT73" i="14" s="1"/>
  <c r="W78" i="14"/>
  <c r="W70" i="14"/>
  <c r="AV74" i="14"/>
  <c r="AU74" i="14"/>
  <c r="AB78" i="14"/>
  <c r="C69" i="14"/>
  <c r="AT69" i="14" s="1"/>
  <c r="C75" i="14"/>
  <c r="AT75" i="14" s="1"/>
  <c r="G72" i="14"/>
  <c r="C76" i="14"/>
  <c r="AT76" i="14" s="1"/>
  <c r="AG24" i="14" l="1"/>
  <c r="AS26" i="14"/>
  <c r="AS32" i="14"/>
  <c r="AS5" i="14"/>
  <c r="AS67" i="14"/>
  <c r="AS59" i="14"/>
  <c r="AS39" i="14"/>
  <c r="AS51" i="14"/>
  <c r="AS10" i="14"/>
  <c r="AS73" i="14"/>
  <c r="AS14" i="14"/>
  <c r="AS72" i="14"/>
  <c r="AS18" i="14"/>
  <c r="AS49" i="14"/>
  <c r="AS25" i="14"/>
  <c r="AS22" i="14"/>
  <c r="AS76" i="14"/>
  <c r="AS70" i="14"/>
  <c r="AS53" i="14"/>
  <c r="AS8" i="14"/>
  <c r="AS58" i="14"/>
  <c r="AS7" i="14"/>
  <c r="AS15" i="14"/>
  <c r="AS75" i="14"/>
  <c r="AS33" i="14"/>
  <c r="AS69" i="14"/>
  <c r="AG32" i="14"/>
  <c r="AE43" i="14"/>
  <c r="AG56" i="14"/>
  <c r="AG18" i="14"/>
  <c r="AE42" i="14"/>
  <c r="AE48" i="14"/>
  <c r="AZ14" i="14"/>
  <c r="AE63" i="14"/>
  <c r="H3" i="21"/>
  <c r="BH7" i="14"/>
  <c r="AE74" i="14"/>
  <c r="AY69" i="14"/>
  <c r="AE31" i="14"/>
  <c r="AZ7" i="14"/>
  <c r="BE7" i="14" s="1"/>
  <c r="AE75" i="14"/>
  <c r="AG11" i="14"/>
  <c r="AE14" i="14"/>
  <c r="AY76" i="14"/>
  <c r="AG65" i="14"/>
  <c r="AE69" i="14"/>
  <c r="AY63" i="14"/>
  <c r="AZ76" i="14"/>
  <c r="AE64" i="14"/>
  <c r="AE59" i="14"/>
  <c r="AZ63" i="14"/>
  <c r="AY9" i="14"/>
  <c r="BH22" i="14"/>
  <c r="AG8" i="14"/>
  <c r="AG29" i="14"/>
  <c r="AG38" i="14"/>
  <c r="AZ22" i="14"/>
  <c r="BE22" i="14" s="1"/>
  <c r="AY33" i="14"/>
  <c r="BE33" i="14" s="1"/>
  <c r="AZ61" i="14"/>
  <c r="AG27" i="14"/>
  <c r="BH33" i="14"/>
  <c r="AG47" i="14"/>
  <c r="AY17" i="14"/>
  <c r="AG54" i="14"/>
  <c r="AZ74" i="14"/>
  <c r="AY61" i="14"/>
  <c r="AG55" i="14"/>
  <c r="AG35" i="14"/>
  <c r="AZ17" i="14"/>
  <c r="BH12" i="14"/>
  <c r="AY74" i="14"/>
  <c r="AE23" i="14"/>
  <c r="AY21" i="14"/>
  <c r="AY12" i="14"/>
  <c r="BE12" i="14" s="1"/>
  <c r="AZ21" i="14"/>
  <c r="AY39" i="14"/>
  <c r="AZ8" i="14"/>
  <c r="BE8" i="14" s="1"/>
  <c r="AE13" i="14"/>
  <c r="AG53" i="14"/>
  <c r="AG9" i="14"/>
  <c r="AG15" i="14"/>
  <c r="AZ69" i="14"/>
  <c r="AE76" i="14"/>
  <c r="AZ68" i="14"/>
  <c r="AE61" i="14"/>
  <c r="AY68" i="14"/>
  <c r="AY41" i="14"/>
  <c r="BE41" i="14" s="1"/>
  <c r="AG10" i="14"/>
  <c r="AE62" i="14"/>
  <c r="AG33" i="14"/>
  <c r="AG37" i="14"/>
  <c r="AE20" i="14"/>
  <c r="AE16" i="14"/>
  <c r="AY66" i="14"/>
  <c r="AZ66" i="14"/>
  <c r="AZ39" i="14"/>
  <c r="AZ9" i="14"/>
  <c r="BH41" i="14"/>
  <c r="AY15" i="14"/>
  <c r="BE15" i="14" s="1"/>
  <c r="BH8" i="14"/>
  <c r="AG57" i="14"/>
  <c r="BH15" i="14"/>
  <c r="AE72" i="14"/>
  <c r="AE71" i="14"/>
  <c r="AG6" i="14"/>
  <c r="AY26" i="14"/>
  <c r="AZ26" i="14"/>
  <c r="BH75" i="14"/>
  <c r="AZ75" i="14"/>
  <c r="AY75" i="14"/>
  <c r="BH32" i="14"/>
  <c r="AZ32" i="14"/>
  <c r="AY32" i="14"/>
  <c r="AE7" i="14"/>
  <c r="AG7" i="14"/>
  <c r="AG50" i="14"/>
  <c r="BH26" i="14"/>
  <c r="AE44" i="14"/>
  <c r="AG44" i="14"/>
  <c r="AY73" i="14"/>
  <c r="AE46" i="14"/>
  <c r="AG19" i="14"/>
  <c r="AY45" i="14"/>
  <c r="AZ45" i="14"/>
  <c r="AE22" i="14"/>
  <c r="AG22" i="14"/>
  <c r="AG40" i="14"/>
  <c r="AE40" i="14"/>
  <c r="AG70" i="14"/>
  <c r="AE70" i="14"/>
  <c r="AE77" i="14"/>
  <c r="AE52" i="14"/>
  <c r="AG52" i="14"/>
  <c r="AE78" i="14"/>
  <c r="AE73" i="14"/>
  <c r="AZ73" i="14"/>
  <c r="AE21" i="14"/>
  <c r="AG21" i="14"/>
  <c r="AE26" i="14"/>
  <c r="AG26" i="14"/>
  <c r="AE67" i="14"/>
  <c r="AE68" i="14"/>
  <c r="AY14" i="14"/>
  <c r="AG12" i="14"/>
  <c r="AE12" i="14"/>
  <c r="AU5" i="14"/>
  <c r="AV5" i="14"/>
  <c r="AV25" i="14"/>
  <c r="AU25" i="14"/>
  <c r="AZ20" i="14"/>
  <c r="AY20" i="14"/>
  <c r="BH20" i="14"/>
  <c r="BH47" i="14"/>
  <c r="AZ47" i="14"/>
  <c r="AY47" i="14"/>
  <c r="AG51" i="14"/>
  <c r="AE51" i="14"/>
  <c r="AZ34" i="14"/>
  <c r="AY34" i="14"/>
  <c r="BH34" i="14"/>
  <c r="BH54" i="14"/>
  <c r="AZ54" i="14"/>
  <c r="AY54" i="14"/>
  <c r="AV7" i="14"/>
  <c r="AU7" i="14"/>
  <c r="AU10" i="14"/>
  <c r="AV10" i="14"/>
  <c r="AE30" i="14"/>
  <c r="AG30" i="14"/>
  <c r="AZ59" i="14"/>
  <c r="AY59" i="14"/>
  <c r="BH59" i="14"/>
  <c r="BH60" i="14"/>
  <c r="AZ60" i="14"/>
  <c r="AY60" i="14"/>
  <c r="BH57" i="14"/>
  <c r="AY57" i="14"/>
  <c r="AZ57" i="14"/>
  <c r="BH38" i="14"/>
  <c r="AZ38" i="14"/>
  <c r="AY38" i="14"/>
  <c r="AE34" i="14"/>
  <c r="AG34" i="14"/>
  <c r="AG39" i="14"/>
  <c r="AE39" i="14"/>
  <c r="AE28" i="14"/>
  <c r="AG28" i="14"/>
  <c r="AZ44" i="14"/>
  <c r="AY44" i="14"/>
  <c r="BH44" i="14"/>
  <c r="BH70" i="14"/>
  <c r="AY70" i="14"/>
  <c r="AZ70" i="14"/>
  <c r="AZ56" i="14"/>
  <c r="AY56" i="14"/>
  <c r="BH56" i="14"/>
  <c r="AV72" i="14"/>
  <c r="AU72" i="14"/>
  <c r="AG60" i="14"/>
  <c r="AE60" i="14"/>
  <c r="AY55" i="14"/>
  <c r="BH55" i="14"/>
  <c r="AZ55" i="14"/>
  <c r="AZ48" i="14"/>
  <c r="AY48" i="14"/>
  <c r="BH48" i="14"/>
  <c r="AG45" i="14"/>
  <c r="AE45" i="14"/>
  <c r="BH58" i="14"/>
  <c r="AY58" i="14"/>
  <c r="AZ58" i="14"/>
  <c r="AV39" i="14"/>
  <c r="AU39" i="14"/>
  <c r="AV26" i="14"/>
  <c r="AU26" i="14"/>
  <c r="AV33" i="14"/>
  <c r="AU33" i="14"/>
  <c r="BH77" i="14"/>
  <c r="AZ77" i="14"/>
  <c r="AY77" i="14"/>
  <c r="AZ65" i="14"/>
  <c r="AY65" i="14"/>
  <c r="BH65" i="14"/>
  <c r="AG49" i="14"/>
  <c r="AE49" i="14"/>
  <c r="AZ27" i="14"/>
  <c r="BH27" i="14"/>
  <c r="AY27" i="14"/>
  <c r="AV75" i="14"/>
  <c r="AU75" i="14"/>
  <c r="BH67" i="14"/>
  <c r="AY67" i="14"/>
  <c r="AZ67" i="14"/>
  <c r="AZ62" i="14"/>
  <c r="AY62" i="14"/>
  <c r="BH62" i="14"/>
  <c r="AG66" i="14"/>
  <c r="AE66" i="14"/>
  <c r="AE36" i="14"/>
  <c r="AG36" i="14"/>
  <c r="AZ24" i="14"/>
  <c r="AY24" i="14"/>
  <c r="BH24" i="14"/>
  <c r="AZ13" i="14"/>
  <c r="AY13" i="14"/>
  <c r="BH13" i="14"/>
  <c r="AZ10" i="14"/>
  <c r="AY10" i="14"/>
  <c r="BH10" i="14"/>
  <c r="AV67" i="14"/>
  <c r="AU67" i="14"/>
  <c r="AE41" i="14"/>
  <c r="AG41" i="14"/>
  <c r="AV14" i="14"/>
  <c r="AU14" i="14"/>
  <c r="BH64" i="14"/>
  <c r="AY64" i="14"/>
  <c r="AZ64" i="14"/>
  <c r="AV22" i="14"/>
  <c r="AU22" i="14"/>
  <c r="AZ46" i="14"/>
  <c r="AY46" i="14"/>
  <c r="BH46" i="14"/>
  <c r="AG58" i="14"/>
  <c r="AE58" i="14"/>
  <c r="AZ43" i="14"/>
  <c r="AY43" i="14"/>
  <c r="BH43" i="14"/>
  <c r="AZ40" i="14"/>
  <c r="BH40" i="14"/>
  <c r="AY40" i="14"/>
  <c r="AZ23" i="14"/>
  <c r="BH23" i="14"/>
  <c r="AY23" i="14"/>
  <c r="AV18" i="14"/>
  <c r="AU18" i="14"/>
  <c r="AE17" i="14"/>
  <c r="AG17" i="14"/>
  <c r="AZ16" i="14"/>
  <c r="AY16" i="14"/>
  <c r="BH16" i="14"/>
  <c r="AV73" i="14"/>
  <c r="AU73" i="14"/>
  <c r="AV53" i="14"/>
  <c r="AU53" i="14"/>
  <c r="BH71" i="14"/>
  <c r="AZ71" i="14"/>
  <c r="AY71" i="14"/>
  <c r="AZ31" i="14"/>
  <c r="AY31" i="14"/>
  <c r="BH31" i="14"/>
  <c r="AU8" i="14"/>
  <c r="AV8" i="14"/>
  <c r="AV32" i="14"/>
  <c r="AU32" i="14"/>
  <c r="AV70" i="14"/>
  <c r="AU70" i="14"/>
  <c r="BH49" i="14"/>
  <c r="AZ49" i="14"/>
  <c r="AY49" i="14"/>
  <c r="AV59" i="14"/>
  <c r="AU59" i="14"/>
  <c r="BH37" i="14"/>
  <c r="AZ37" i="14"/>
  <c r="AY37" i="14"/>
  <c r="AZ35" i="14"/>
  <c r="BH35" i="14"/>
  <c r="AY35" i="14"/>
  <c r="AZ19" i="14"/>
  <c r="BH19" i="14"/>
  <c r="AY19" i="14"/>
  <c r="AZ50" i="14"/>
  <c r="AY50" i="14"/>
  <c r="BH50" i="14"/>
  <c r="AZ29" i="14"/>
  <c r="BH29" i="14"/>
  <c r="AY29" i="14"/>
  <c r="AG25" i="14"/>
  <c r="AE25" i="14"/>
  <c r="BH72" i="14"/>
  <c r="AZ72" i="14"/>
  <c r="AY72" i="14"/>
  <c r="BH52" i="14"/>
  <c r="AZ52" i="14"/>
  <c r="AY52" i="14"/>
  <c r="AV15" i="14"/>
  <c r="AU15" i="14"/>
  <c r="AZ6" i="14"/>
  <c r="BH6" i="14"/>
  <c r="AY6" i="14"/>
  <c r="AU49" i="14"/>
  <c r="AV49" i="14"/>
  <c r="AZ42" i="14"/>
  <c r="AY42" i="14"/>
  <c r="BH42" i="14"/>
  <c r="AZ25" i="14"/>
  <c r="BH25" i="14"/>
  <c r="AY25" i="14"/>
  <c r="BH36" i="14"/>
  <c r="AZ36" i="14"/>
  <c r="AY36" i="14"/>
  <c r="AV69" i="14"/>
  <c r="AU69" i="14"/>
  <c r="BH51" i="14"/>
  <c r="AY51" i="14"/>
  <c r="AZ51" i="14"/>
  <c r="AV58" i="14"/>
  <c r="AU58" i="14"/>
  <c r="AV76" i="14"/>
  <c r="AU76" i="14"/>
  <c r="BH78" i="14"/>
  <c r="AZ78" i="14"/>
  <c r="AY78" i="14"/>
  <c r="BH53" i="14"/>
  <c r="AZ53" i="14"/>
  <c r="AY53" i="14"/>
  <c r="AU51" i="14"/>
  <c r="AV51" i="14"/>
  <c r="AZ30" i="14"/>
  <c r="AY30" i="14"/>
  <c r="BH30" i="14"/>
  <c r="AZ11" i="14"/>
  <c r="BH11" i="14"/>
  <c r="AY11" i="14"/>
  <c r="AZ18" i="14"/>
  <c r="AY18" i="14"/>
  <c r="BH18" i="14"/>
  <c r="AZ28" i="14"/>
  <c r="AY28" i="14"/>
  <c r="BH28" i="14"/>
  <c r="BE76" i="14" l="1"/>
  <c r="BE14" i="14"/>
  <c r="BE51" i="14"/>
  <c r="BE21" i="14"/>
  <c r="BE61" i="14"/>
  <c r="BE63" i="14"/>
  <c r="BE69" i="14"/>
  <c r="I3" i="21"/>
  <c r="BE74" i="14"/>
  <c r="BE45" i="14"/>
  <c r="BE68" i="14"/>
  <c r="BE39" i="14"/>
  <c r="BE17" i="14"/>
  <c r="BE57" i="14"/>
  <c r="BE9" i="14"/>
  <c r="BE13" i="14"/>
  <c r="BE66" i="14"/>
  <c r="BE73" i="14"/>
  <c r="BE48" i="14"/>
  <c r="BE64" i="14"/>
  <c r="BE58" i="14"/>
  <c r="BE32" i="14"/>
  <c r="BE54" i="14"/>
  <c r="BE27" i="14"/>
  <c r="BE60" i="14"/>
  <c r="BE28" i="14"/>
  <c r="BE72" i="14"/>
  <c r="BE26" i="14"/>
  <c r="BE25" i="14"/>
  <c r="BE55" i="14"/>
  <c r="BE56" i="14"/>
  <c r="BE47" i="14"/>
  <c r="BE75" i="14"/>
  <c r="BE78" i="14"/>
  <c r="BE50" i="14"/>
  <c r="BE16" i="14"/>
  <c r="BE52" i="14"/>
  <c r="BE10" i="14"/>
  <c r="BE24" i="14"/>
  <c r="BE49" i="14"/>
  <c r="BE11" i="14"/>
  <c r="BE40" i="14"/>
  <c r="BE46" i="14"/>
  <c r="BE44" i="14"/>
  <c r="BE18" i="14"/>
  <c r="BE6" i="14"/>
  <c r="BE35" i="14"/>
  <c r="BE65" i="14"/>
  <c r="BE42" i="14"/>
  <c r="BE70" i="14"/>
  <c r="BE38" i="14"/>
  <c r="BE53" i="14"/>
  <c r="BE37" i="14"/>
  <c r="BE43" i="14"/>
  <c r="BE30" i="14"/>
  <c r="BE19" i="14"/>
  <c r="BE31" i="14"/>
  <c r="BE23" i="14"/>
  <c r="BE62" i="14"/>
  <c r="BE77" i="14"/>
  <c r="BE20" i="14"/>
  <c r="BE34" i="14"/>
  <c r="BE29" i="14"/>
  <c r="BE67" i="14"/>
  <c r="BE59" i="14"/>
  <c r="BE36" i="14"/>
  <c r="BE71" i="14"/>
  <c r="J3" i="21" l="1"/>
  <c r="D25" i="16"/>
  <c r="D26" i="16"/>
  <c r="A28" i="14"/>
  <c r="A27" i="14"/>
  <c r="K3" i="21" l="1"/>
  <c r="R4" i="14"/>
  <c r="V4" i="14"/>
  <c r="U4" i="14"/>
  <c r="T4" i="14"/>
  <c r="S4" i="14"/>
  <c r="Q4" i="14"/>
  <c r="L3" i="21" l="1"/>
  <c r="B29" i="13"/>
  <c r="D6" i="16"/>
  <c r="D5" i="16"/>
  <c r="D4" i="16"/>
  <c r="M3" i="21" l="1"/>
  <c r="B4" i="14"/>
  <c r="A2" i="24" s="1"/>
  <c r="BG61" i="14" l="1"/>
  <c r="BG59" i="14"/>
  <c r="BG69" i="14"/>
  <c r="BG67" i="14"/>
  <c r="BG14" i="14"/>
  <c r="BG47" i="14"/>
  <c r="BG10" i="14"/>
  <c r="BG76" i="14"/>
  <c r="BG64" i="14"/>
  <c r="BG68" i="14"/>
  <c r="BG15" i="14"/>
  <c r="BG26" i="14"/>
  <c r="BG38" i="14"/>
  <c r="BG20" i="14"/>
  <c r="BG56" i="14"/>
  <c r="BG16" i="14"/>
  <c r="BG49" i="14"/>
  <c r="BG41" i="14"/>
  <c r="BG40" i="14"/>
  <c r="BG39" i="14"/>
  <c r="BG19" i="14"/>
  <c r="BG13" i="14"/>
  <c r="BG28" i="14"/>
  <c r="BG70" i="14"/>
  <c r="BG44" i="14"/>
  <c r="BG51" i="14"/>
  <c r="BG78" i="14"/>
  <c r="BG43" i="14"/>
  <c r="BG73" i="14"/>
  <c r="BG63" i="14"/>
  <c r="BG45" i="14"/>
  <c r="BG71" i="14"/>
  <c r="BG21" i="14"/>
  <c r="BG8" i="14"/>
  <c r="BG46" i="14"/>
  <c r="BG33" i="14"/>
  <c r="BG37" i="14"/>
  <c r="BG57" i="14"/>
  <c r="BG31" i="14"/>
  <c r="BG60" i="14"/>
  <c r="BG48" i="14"/>
  <c r="BG52" i="14"/>
  <c r="BG11" i="14"/>
  <c r="BG27" i="14"/>
  <c r="BG18" i="14"/>
  <c r="BG6" i="14"/>
  <c r="BG32" i="14"/>
  <c r="BG22" i="14"/>
  <c r="N3" i="21"/>
  <c r="BG58" i="14"/>
  <c r="BG30" i="14"/>
  <c r="BG65" i="14"/>
  <c r="BG36" i="14"/>
  <c r="BG62" i="14"/>
  <c r="BG54" i="14"/>
  <c r="BG75" i="14"/>
  <c r="BG23" i="14"/>
  <c r="BG24" i="14"/>
  <c r="BG53" i="14"/>
  <c r="BG35" i="14"/>
  <c r="BG17" i="14"/>
  <c r="BG9" i="14"/>
  <c r="BG72" i="14"/>
  <c r="BG12" i="14"/>
  <c r="BG42" i="14"/>
  <c r="BG66" i="14"/>
  <c r="BG25" i="14"/>
  <c r="BG77" i="14"/>
  <c r="BG50" i="14"/>
  <c r="BG55" i="14"/>
  <c r="BG34" i="14"/>
  <c r="BG29" i="14"/>
  <c r="BG7" i="14"/>
  <c r="BG5" i="14"/>
  <c r="BG74" i="14"/>
  <c r="BG4" i="14"/>
  <c r="C4" i="14"/>
  <c r="AT4" i="14" s="1"/>
  <c r="B22" i="24" l="1"/>
  <c r="C22" i="24" s="1"/>
  <c r="N8" i="21"/>
  <c r="N7" i="21"/>
  <c r="AS4" i="14"/>
  <c r="B21" i="24" s="1"/>
  <c r="Q7" i="21"/>
  <c r="O3" i="21"/>
  <c r="AU4" i="14"/>
  <c r="B28" i="24" s="1"/>
  <c r="B3" i="11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C9" i="17"/>
  <c r="C7" i="17"/>
  <c r="C6" i="17"/>
  <c r="C5" i="17"/>
  <c r="C4" i="17"/>
  <c r="C2" i="17"/>
  <c r="K39" i="18"/>
  <c r="J39" i="18"/>
  <c r="I39" i="18"/>
  <c r="H39" i="18"/>
  <c r="G19" i="18"/>
  <c r="F21" i="18"/>
  <c r="E21" i="18"/>
  <c r="D21" i="18"/>
  <c r="C21" i="18"/>
  <c r="Q9" i="21" l="1"/>
  <c r="H9" i="21" s="1"/>
  <c r="C28" i="24"/>
  <c r="R7" i="21"/>
  <c r="S7" i="21" s="1"/>
  <c r="C21" i="24"/>
  <c r="O10" i="21"/>
  <c r="O8" i="21"/>
  <c r="O7" i="21"/>
  <c r="P3" i="21"/>
  <c r="D72" i="14"/>
  <c r="D56" i="14"/>
  <c r="D45" i="14"/>
  <c r="D42" i="14"/>
  <c r="D19" i="14"/>
  <c r="D17" i="14"/>
  <c r="D50" i="14"/>
  <c r="D48" i="14"/>
  <c r="D31" i="14"/>
  <c r="D29" i="14"/>
  <c r="D8" i="14"/>
  <c r="D74" i="14"/>
  <c r="D66" i="14"/>
  <c r="D43" i="14"/>
  <c r="D40" i="14"/>
  <c r="D16" i="14"/>
  <c r="D77" i="14"/>
  <c r="D71" i="14"/>
  <c r="D64" i="14"/>
  <c r="D9" i="14"/>
  <c r="D68" i="14"/>
  <c r="D58" i="14"/>
  <c r="D52" i="14"/>
  <c r="D49" i="14"/>
  <c r="D27" i="14"/>
  <c r="D78" i="14"/>
  <c r="D69" i="14"/>
  <c r="D60" i="14"/>
  <c r="D55" i="14"/>
  <c r="D24" i="14"/>
  <c r="D62" i="14"/>
  <c r="D57" i="14"/>
  <c r="D53" i="14"/>
  <c r="D46" i="14"/>
  <c r="D37" i="14"/>
  <c r="D34" i="14"/>
  <c r="D26" i="14"/>
  <c r="D21" i="14"/>
  <c r="D18" i="14"/>
  <c r="D75" i="14"/>
  <c r="D28" i="14"/>
  <c r="D11" i="14"/>
  <c r="D23" i="14"/>
  <c r="D13" i="14"/>
  <c r="D41" i="14"/>
  <c r="D39" i="14"/>
  <c r="D33" i="14"/>
  <c r="D25" i="14"/>
  <c r="D63" i="14"/>
  <c r="D47" i="14"/>
  <c r="D44" i="14"/>
  <c r="D36" i="14"/>
  <c r="D30" i="14"/>
  <c r="D15" i="14"/>
  <c r="D7" i="14"/>
  <c r="D67" i="14"/>
  <c r="D59" i="14"/>
  <c r="D20" i="14"/>
  <c r="D10" i="14"/>
  <c r="D65" i="14"/>
  <c r="D61" i="14"/>
  <c r="D22" i="14"/>
  <c r="D70" i="14"/>
  <c r="D51" i="14"/>
  <c r="D76" i="14"/>
  <c r="D38" i="14"/>
  <c r="D6" i="14"/>
  <c r="D5" i="14"/>
  <c r="D54" i="14"/>
  <c r="D12" i="14"/>
  <c r="D32" i="14"/>
  <c r="D14" i="14"/>
  <c r="D35" i="14"/>
  <c r="D73" i="14"/>
  <c r="D4" i="14"/>
  <c r="K4" i="14" s="1"/>
  <c r="G9" i="21" l="1"/>
  <c r="F9" i="21"/>
  <c r="F13" i="21" s="1"/>
  <c r="P8" i="21"/>
  <c r="P7" i="21"/>
  <c r="J7" i="21"/>
  <c r="J13" i="21" s="1"/>
  <c r="L7" i="21"/>
  <c r="L13" i="21" s="1"/>
  <c r="I7" i="21"/>
  <c r="G7" i="21"/>
  <c r="K7" i="21"/>
  <c r="H7" i="21"/>
  <c r="H13" i="21" s="1"/>
  <c r="M7" i="21"/>
  <c r="H22" i="14"/>
  <c r="J22" i="14"/>
  <c r="Z22" i="14" s="1"/>
  <c r="AD22" i="14" s="1"/>
  <c r="AK22" i="14" s="1"/>
  <c r="I22" i="14"/>
  <c r="H43" i="14"/>
  <c r="I43" i="14"/>
  <c r="J43" i="14"/>
  <c r="Z43" i="14" s="1"/>
  <c r="AD43" i="14" s="1"/>
  <c r="AK43" i="14" s="1"/>
  <c r="AN43" i="14" s="1"/>
  <c r="AQ43" i="14" s="1"/>
  <c r="J61" i="14"/>
  <c r="Z61" i="14" s="1"/>
  <c r="AD61" i="14" s="1"/>
  <c r="AK61" i="14" s="1"/>
  <c r="AN61" i="14" s="1"/>
  <c r="AQ61" i="14" s="1"/>
  <c r="H61" i="14"/>
  <c r="I61" i="14"/>
  <c r="I27" i="14"/>
  <c r="H27" i="14"/>
  <c r="J27" i="14"/>
  <c r="Z27" i="14" s="1"/>
  <c r="AD27" i="14" s="1"/>
  <c r="AK27" i="14" s="1"/>
  <c r="AN27" i="14" s="1"/>
  <c r="AQ27" i="14" s="1"/>
  <c r="I14" i="14"/>
  <c r="J14" i="14"/>
  <c r="Z14" i="14" s="1"/>
  <c r="AD14" i="14" s="1"/>
  <c r="AK14" i="14" s="1"/>
  <c r="H14" i="14"/>
  <c r="I34" i="14"/>
  <c r="H34" i="14"/>
  <c r="J34" i="14"/>
  <c r="Z34" i="14" s="1"/>
  <c r="AD34" i="14" s="1"/>
  <c r="AK34" i="14" s="1"/>
  <c r="H49" i="14"/>
  <c r="J49" i="14"/>
  <c r="Z49" i="14" s="1"/>
  <c r="AD49" i="14" s="1"/>
  <c r="AK49" i="14" s="1"/>
  <c r="AN49" i="14" s="1"/>
  <c r="AQ49" i="14" s="1"/>
  <c r="I49" i="14"/>
  <c r="H74" i="14"/>
  <c r="J74" i="14"/>
  <c r="Z74" i="14" s="1"/>
  <c r="AD74" i="14" s="1"/>
  <c r="AK74" i="14" s="1"/>
  <c r="I74" i="14"/>
  <c r="I32" i="14"/>
  <c r="H32" i="14"/>
  <c r="J32" i="14"/>
  <c r="Z32" i="14" s="1"/>
  <c r="AD32" i="14" s="1"/>
  <c r="AK32" i="14" s="1"/>
  <c r="AN32" i="14" s="1"/>
  <c r="AQ32" i="14" s="1"/>
  <c r="I10" i="14"/>
  <c r="H10" i="14"/>
  <c r="J10" i="14"/>
  <c r="Z10" i="14" s="1"/>
  <c r="AD10" i="14" s="1"/>
  <c r="AK10" i="14" s="1"/>
  <c r="AN10" i="14" s="1"/>
  <c r="AQ10" i="14" s="1"/>
  <c r="H33" i="14"/>
  <c r="J33" i="14"/>
  <c r="Z33" i="14" s="1"/>
  <c r="AD33" i="14" s="1"/>
  <c r="AK33" i="14" s="1"/>
  <c r="I33" i="14"/>
  <c r="I37" i="14"/>
  <c r="H37" i="14"/>
  <c r="J37" i="14"/>
  <c r="Z37" i="14" s="1"/>
  <c r="AD37" i="14" s="1"/>
  <c r="AK37" i="14" s="1"/>
  <c r="H52" i="14"/>
  <c r="J52" i="14"/>
  <c r="Z52" i="14" s="1"/>
  <c r="AD52" i="14" s="1"/>
  <c r="AK52" i="14" s="1"/>
  <c r="AN52" i="14" s="1"/>
  <c r="AQ52" i="14" s="1"/>
  <c r="I52" i="14"/>
  <c r="H8" i="14"/>
  <c r="I8" i="14"/>
  <c r="J8" i="14"/>
  <c r="Z8" i="14" s="1"/>
  <c r="AD8" i="14" s="1"/>
  <c r="AK8" i="14" s="1"/>
  <c r="AN8" i="14" s="1"/>
  <c r="AQ8" i="14" s="1"/>
  <c r="H12" i="14"/>
  <c r="I12" i="14"/>
  <c r="J12" i="14"/>
  <c r="Z12" i="14" s="1"/>
  <c r="AD12" i="14" s="1"/>
  <c r="AK12" i="14" s="1"/>
  <c r="AN12" i="14" s="1"/>
  <c r="AQ12" i="14" s="1"/>
  <c r="H20" i="14"/>
  <c r="J20" i="14"/>
  <c r="Z20" i="14" s="1"/>
  <c r="AD20" i="14" s="1"/>
  <c r="AK20" i="14" s="1"/>
  <c r="I20" i="14"/>
  <c r="H39" i="14"/>
  <c r="J39" i="14"/>
  <c r="Z39" i="14" s="1"/>
  <c r="AD39" i="14" s="1"/>
  <c r="AK39" i="14" s="1"/>
  <c r="AN39" i="14" s="1"/>
  <c r="AQ39" i="14" s="1"/>
  <c r="I39" i="14"/>
  <c r="H46" i="14"/>
  <c r="I46" i="14"/>
  <c r="J46" i="14"/>
  <c r="Z46" i="14" s="1"/>
  <c r="AD46" i="14" s="1"/>
  <c r="AK46" i="14" s="1"/>
  <c r="AN46" i="14" s="1"/>
  <c r="AQ46" i="14" s="1"/>
  <c r="I58" i="14"/>
  <c r="J58" i="14"/>
  <c r="Z58" i="14" s="1"/>
  <c r="AD58" i="14" s="1"/>
  <c r="AK58" i="14" s="1"/>
  <c r="AN58" i="14" s="1"/>
  <c r="AQ58" i="14" s="1"/>
  <c r="H58" i="14"/>
  <c r="I29" i="14"/>
  <c r="H29" i="14"/>
  <c r="J29" i="14"/>
  <c r="Z29" i="14" s="1"/>
  <c r="AD29" i="14" s="1"/>
  <c r="AK29" i="14" s="1"/>
  <c r="AN29" i="14" s="1"/>
  <c r="AQ29" i="14" s="1"/>
  <c r="I73" i="14"/>
  <c r="H73" i="14"/>
  <c r="J73" i="14"/>
  <c r="Z73" i="14" s="1"/>
  <c r="AD73" i="14" s="1"/>
  <c r="AK73" i="14" s="1"/>
  <c r="H47" i="14"/>
  <c r="J47" i="14"/>
  <c r="Z47" i="14" s="1"/>
  <c r="AD47" i="14" s="1"/>
  <c r="AK47" i="14" s="1"/>
  <c r="I47" i="14"/>
  <c r="H78" i="14"/>
  <c r="J78" i="14"/>
  <c r="Z78" i="14" s="1"/>
  <c r="AD78" i="14" s="1"/>
  <c r="AK78" i="14" s="1"/>
  <c r="I78" i="14"/>
  <c r="J56" i="14"/>
  <c r="Z56" i="14" s="1"/>
  <c r="AD56" i="14" s="1"/>
  <c r="AK56" i="14" s="1"/>
  <c r="H56" i="14"/>
  <c r="I56" i="14"/>
  <c r="H63" i="14"/>
  <c r="J63" i="14"/>
  <c r="Z63" i="14" s="1"/>
  <c r="AD63" i="14" s="1"/>
  <c r="AK63" i="14" s="1"/>
  <c r="AN63" i="14" s="1"/>
  <c r="AQ63" i="14" s="1"/>
  <c r="I63" i="14"/>
  <c r="H26" i="14"/>
  <c r="J26" i="14"/>
  <c r="Z26" i="14" s="1"/>
  <c r="AD26" i="14" s="1"/>
  <c r="AK26" i="14" s="1"/>
  <c r="I26" i="14"/>
  <c r="J72" i="14"/>
  <c r="Z72" i="14" s="1"/>
  <c r="AD72" i="14" s="1"/>
  <c r="AK72" i="14" s="1"/>
  <c r="I72" i="14"/>
  <c r="H72" i="14"/>
  <c r="J25" i="14"/>
  <c r="Z25" i="14" s="1"/>
  <c r="AD25" i="14" s="1"/>
  <c r="AK25" i="14" s="1"/>
  <c r="AN25" i="14" s="1"/>
  <c r="AQ25" i="14" s="1"/>
  <c r="I25" i="14"/>
  <c r="H25" i="14"/>
  <c r="H54" i="14"/>
  <c r="I54" i="14"/>
  <c r="J54" i="14"/>
  <c r="Z54" i="14" s="1"/>
  <c r="AD54" i="14" s="1"/>
  <c r="AK54" i="14" s="1"/>
  <c r="AN54" i="14" s="1"/>
  <c r="AQ54" i="14" s="1"/>
  <c r="J59" i="14"/>
  <c r="Z59" i="14" s="1"/>
  <c r="AD59" i="14" s="1"/>
  <c r="AK59" i="14" s="1"/>
  <c r="H59" i="14"/>
  <c r="I59" i="14"/>
  <c r="J53" i="14"/>
  <c r="Z53" i="14" s="1"/>
  <c r="AD53" i="14" s="1"/>
  <c r="AK53" i="14" s="1"/>
  <c r="AN53" i="14" s="1"/>
  <c r="AQ53" i="14" s="1"/>
  <c r="H53" i="14"/>
  <c r="I53" i="14"/>
  <c r="I31" i="14"/>
  <c r="H31" i="14"/>
  <c r="J31" i="14"/>
  <c r="Z31" i="14" s="1"/>
  <c r="AD31" i="14" s="1"/>
  <c r="AK31" i="14" s="1"/>
  <c r="AN31" i="14" s="1"/>
  <c r="AQ31" i="14" s="1"/>
  <c r="M5" i="14"/>
  <c r="L5" i="14"/>
  <c r="K5" i="14"/>
  <c r="E5" i="14" s="1"/>
  <c r="H5" i="14" s="1"/>
  <c r="J67" i="14"/>
  <c r="Z67" i="14" s="1"/>
  <c r="AD67" i="14" s="1"/>
  <c r="AK67" i="14" s="1"/>
  <c r="AN67" i="14" s="1"/>
  <c r="AQ67" i="14" s="1"/>
  <c r="H67" i="14"/>
  <c r="I67" i="14"/>
  <c r="J13" i="14"/>
  <c r="Z13" i="14" s="1"/>
  <c r="AD13" i="14" s="1"/>
  <c r="AK13" i="14" s="1"/>
  <c r="H13" i="14"/>
  <c r="I13" i="14"/>
  <c r="H57" i="14"/>
  <c r="I57" i="14"/>
  <c r="J57" i="14"/>
  <c r="Z57" i="14" s="1"/>
  <c r="AD57" i="14" s="1"/>
  <c r="AK57" i="14" s="1"/>
  <c r="J9" i="14"/>
  <c r="Z9" i="14" s="1"/>
  <c r="AD9" i="14" s="1"/>
  <c r="AK9" i="14" s="1"/>
  <c r="H9" i="14"/>
  <c r="I9" i="14"/>
  <c r="H48" i="14"/>
  <c r="I48" i="14"/>
  <c r="J48" i="14"/>
  <c r="Z48" i="14" s="1"/>
  <c r="AD48" i="14" s="1"/>
  <c r="AK48" i="14" s="1"/>
  <c r="J6" i="14"/>
  <c r="Z6" i="14" s="1"/>
  <c r="AD6" i="14" s="1"/>
  <c r="AK6" i="14" s="1"/>
  <c r="H6" i="14"/>
  <c r="I6" i="14"/>
  <c r="I7" i="14"/>
  <c r="J7" i="14"/>
  <c r="Z7" i="14" s="1"/>
  <c r="AD7" i="14" s="1"/>
  <c r="AK7" i="14" s="1"/>
  <c r="H7" i="14"/>
  <c r="I23" i="14"/>
  <c r="H23" i="14"/>
  <c r="J23" i="14"/>
  <c r="Z23" i="14" s="1"/>
  <c r="AD23" i="14" s="1"/>
  <c r="AK23" i="14" s="1"/>
  <c r="J62" i="14"/>
  <c r="Z62" i="14" s="1"/>
  <c r="AD62" i="14" s="1"/>
  <c r="AK62" i="14" s="1"/>
  <c r="I62" i="14"/>
  <c r="H62" i="14"/>
  <c r="J64" i="14"/>
  <c r="Z64" i="14" s="1"/>
  <c r="AD64" i="14" s="1"/>
  <c r="AK64" i="14" s="1"/>
  <c r="AN64" i="14" s="1"/>
  <c r="AQ64" i="14" s="1"/>
  <c r="H64" i="14"/>
  <c r="I64" i="14"/>
  <c r="J50" i="14"/>
  <c r="Z50" i="14" s="1"/>
  <c r="AD50" i="14" s="1"/>
  <c r="AK50" i="14" s="1"/>
  <c r="AN50" i="14" s="1"/>
  <c r="AQ50" i="14" s="1"/>
  <c r="H50" i="14"/>
  <c r="I50" i="14"/>
  <c r="I38" i="14"/>
  <c r="J38" i="14"/>
  <c r="Z38" i="14" s="1"/>
  <c r="AD38" i="14" s="1"/>
  <c r="AK38" i="14" s="1"/>
  <c r="H38" i="14"/>
  <c r="I15" i="14"/>
  <c r="H15" i="14"/>
  <c r="J15" i="14"/>
  <c r="Z15" i="14" s="1"/>
  <c r="AD15" i="14" s="1"/>
  <c r="AK15" i="14" s="1"/>
  <c r="I11" i="14"/>
  <c r="H11" i="14"/>
  <c r="J11" i="14"/>
  <c r="Z11" i="14" s="1"/>
  <c r="AD11" i="14" s="1"/>
  <c r="AK11" i="14" s="1"/>
  <c r="J24" i="14"/>
  <c r="Z24" i="14" s="1"/>
  <c r="AD24" i="14" s="1"/>
  <c r="AK24" i="14" s="1"/>
  <c r="AN24" i="14" s="1"/>
  <c r="AQ24" i="14" s="1"/>
  <c r="H24" i="14"/>
  <c r="I24" i="14"/>
  <c r="I71" i="14"/>
  <c r="H71" i="14"/>
  <c r="J71" i="14"/>
  <c r="Z71" i="14" s="1"/>
  <c r="AD71" i="14" s="1"/>
  <c r="AK71" i="14" s="1"/>
  <c r="J17" i="14"/>
  <c r="Z17" i="14" s="1"/>
  <c r="AD17" i="14" s="1"/>
  <c r="AK17" i="14" s="1"/>
  <c r="AN17" i="14" s="1"/>
  <c r="AQ17" i="14" s="1"/>
  <c r="I17" i="14"/>
  <c r="H17" i="14"/>
  <c r="I21" i="14"/>
  <c r="H21" i="14"/>
  <c r="J21" i="14"/>
  <c r="Z21" i="14" s="1"/>
  <c r="AD21" i="14" s="1"/>
  <c r="AK21" i="14" s="1"/>
  <c r="H35" i="14"/>
  <c r="J35" i="14"/>
  <c r="Z35" i="14" s="1"/>
  <c r="AD35" i="14" s="1"/>
  <c r="AK35" i="14" s="1"/>
  <c r="AN35" i="14" s="1"/>
  <c r="AQ35" i="14" s="1"/>
  <c r="I35" i="14"/>
  <c r="H66" i="14"/>
  <c r="I66" i="14"/>
  <c r="J66" i="14"/>
  <c r="Z66" i="14" s="1"/>
  <c r="AD66" i="14" s="1"/>
  <c r="AK66" i="14" s="1"/>
  <c r="AN66" i="14" s="1"/>
  <c r="AQ66" i="14" s="1"/>
  <c r="J65" i="14"/>
  <c r="Z65" i="14" s="1"/>
  <c r="AD65" i="14" s="1"/>
  <c r="AK65" i="14" s="1"/>
  <c r="AN65" i="14" s="1"/>
  <c r="AQ65" i="14" s="1"/>
  <c r="H65" i="14"/>
  <c r="I65" i="14"/>
  <c r="I41" i="14"/>
  <c r="J41" i="14"/>
  <c r="Z41" i="14" s="1"/>
  <c r="AD41" i="14" s="1"/>
  <c r="AK41" i="14" s="1"/>
  <c r="H41" i="14"/>
  <c r="J68" i="14"/>
  <c r="Z68" i="14" s="1"/>
  <c r="AD68" i="14" s="1"/>
  <c r="AK68" i="14" s="1"/>
  <c r="AN68" i="14" s="1"/>
  <c r="AQ68" i="14" s="1"/>
  <c r="I68" i="14"/>
  <c r="H68" i="14"/>
  <c r="J76" i="14"/>
  <c r="Z76" i="14" s="1"/>
  <c r="AD76" i="14" s="1"/>
  <c r="AK76" i="14" s="1"/>
  <c r="I76" i="14"/>
  <c r="H76" i="14"/>
  <c r="J30" i="14"/>
  <c r="Z30" i="14" s="1"/>
  <c r="AD30" i="14" s="1"/>
  <c r="AK30" i="14" s="1"/>
  <c r="AN30" i="14" s="1"/>
  <c r="AQ30" i="14" s="1"/>
  <c r="H30" i="14"/>
  <c r="I30" i="14"/>
  <c r="H28" i="14"/>
  <c r="J28" i="14"/>
  <c r="Z28" i="14" s="1"/>
  <c r="AD28" i="14" s="1"/>
  <c r="AK28" i="14" s="1"/>
  <c r="AN28" i="14" s="1"/>
  <c r="AQ28" i="14" s="1"/>
  <c r="I28" i="14"/>
  <c r="I55" i="14"/>
  <c r="H55" i="14"/>
  <c r="J55" i="14"/>
  <c r="Z55" i="14" s="1"/>
  <c r="AD55" i="14" s="1"/>
  <c r="AK55" i="14" s="1"/>
  <c r="AN55" i="14" s="1"/>
  <c r="AQ55" i="14" s="1"/>
  <c r="H77" i="14"/>
  <c r="J77" i="14"/>
  <c r="Z77" i="14" s="1"/>
  <c r="AD77" i="14" s="1"/>
  <c r="AK77" i="14" s="1"/>
  <c r="I77" i="14"/>
  <c r="J19" i="14"/>
  <c r="Z19" i="14" s="1"/>
  <c r="AD19" i="14" s="1"/>
  <c r="AK19" i="14" s="1"/>
  <c r="AN19" i="14" s="1"/>
  <c r="AQ19" i="14" s="1"/>
  <c r="I19" i="14"/>
  <c r="H19" i="14"/>
  <c r="H51" i="14"/>
  <c r="J51" i="14"/>
  <c r="Z51" i="14" s="1"/>
  <c r="AD51" i="14" s="1"/>
  <c r="AK51" i="14" s="1"/>
  <c r="AN51" i="14" s="1"/>
  <c r="AQ51" i="14" s="1"/>
  <c r="I51" i="14"/>
  <c r="H36" i="14"/>
  <c r="J36" i="14"/>
  <c r="Z36" i="14" s="1"/>
  <c r="AD36" i="14" s="1"/>
  <c r="AK36" i="14" s="1"/>
  <c r="AN36" i="14" s="1"/>
  <c r="AQ36" i="14" s="1"/>
  <c r="I36" i="14"/>
  <c r="H75" i="14"/>
  <c r="I75" i="14"/>
  <c r="J75" i="14"/>
  <c r="Z75" i="14" s="1"/>
  <c r="AD75" i="14" s="1"/>
  <c r="AK75" i="14" s="1"/>
  <c r="H60" i="14"/>
  <c r="J60" i="14"/>
  <c r="Z60" i="14" s="1"/>
  <c r="AD60" i="14" s="1"/>
  <c r="AK60" i="14" s="1"/>
  <c r="AN60" i="14" s="1"/>
  <c r="AQ60" i="14" s="1"/>
  <c r="I60" i="14"/>
  <c r="J16" i="14"/>
  <c r="Z16" i="14" s="1"/>
  <c r="AD16" i="14" s="1"/>
  <c r="AK16" i="14" s="1"/>
  <c r="I16" i="14"/>
  <c r="H16" i="14"/>
  <c r="H42" i="14"/>
  <c r="I42" i="14"/>
  <c r="J42" i="14"/>
  <c r="Z42" i="14" s="1"/>
  <c r="AD42" i="14" s="1"/>
  <c r="AK42" i="14" s="1"/>
  <c r="AN42" i="14" s="1"/>
  <c r="AQ42" i="14" s="1"/>
  <c r="J70" i="14"/>
  <c r="Z70" i="14" s="1"/>
  <c r="AD70" i="14" s="1"/>
  <c r="AK70" i="14" s="1"/>
  <c r="AN70" i="14" s="1"/>
  <c r="AQ70" i="14" s="1"/>
  <c r="H70" i="14"/>
  <c r="I70" i="14"/>
  <c r="I44" i="14"/>
  <c r="H44" i="14"/>
  <c r="J44" i="14"/>
  <c r="Z44" i="14" s="1"/>
  <c r="AD44" i="14" s="1"/>
  <c r="AK44" i="14" s="1"/>
  <c r="H18" i="14"/>
  <c r="J18" i="14"/>
  <c r="Z18" i="14" s="1"/>
  <c r="AD18" i="14" s="1"/>
  <c r="AK18" i="14" s="1"/>
  <c r="I18" i="14"/>
  <c r="J69" i="14"/>
  <c r="Z69" i="14" s="1"/>
  <c r="AD69" i="14" s="1"/>
  <c r="AK69" i="14" s="1"/>
  <c r="I69" i="14"/>
  <c r="H69" i="14"/>
  <c r="J40" i="14"/>
  <c r="Z40" i="14" s="1"/>
  <c r="AD40" i="14" s="1"/>
  <c r="AK40" i="14" s="1"/>
  <c r="H40" i="14"/>
  <c r="I40" i="14"/>
  <c r="J45" i="14"/>
  <c r="Z45" i="14" s="1"/>
  <c r="AD45" i="14" s="1"/>
  <c r="AK45" i="14" s="1"/>
  <c r="AN45" i="14" s="1"/>
  <c r="AQ45" i="14" s="1"/>
  <c r="I45" i="14"/>
  <c r="H45" i="14"/>
  <c r="L4" i="14"/>
  <c r="M4" i="14"/>
  <c r="AB4" i="14" s="1"/>
  <c r="N4" i="14"/>
  <c r="E4" i="14" s="1"/>
  <c r="H4" i="14" s="1"/>
  <c r="P4" i="14"/>
  <c r="O4" i="14"/>
  <c r="Y69" i="14" l="1"/>
  <c r="AC69" i="14" s="1"/>
  <c r="AJ69" i="14" s="1"/>
  <c r="AX69" i="14"/>
  <c r="Y55" i="14"/>
  <c r="AC55" i="14" s="1"/>
  <c r="AJ55" i="14" s="1"/>
  <c r="AM55" i="14" s="1"/>
  <c r="AP55" i="14" s="1"/>
  <c r="AX55" i="14"/>
  <c r="Y16" i="14"/>
  <c r="AC16" i="14" s="1"/>
  <c r="AJ16" i="14" s="1"/>
  <c r="AX16" i="14"/>
  <c r="Y26" i="14"/>
  <c r="AC26" i="14" s="1"/>
  <c r="AJ26" i="14" s="1"/>
  <c r="AM26" i="14" s="1"/>
  <c r="AP26" i="14" s="1"/>
  <c r="AX26" i="14"/>
  <c r="Y47" i="14"/>
  <c r="AC47" i="14" s="1"/>
  <c r="AJ47" i="14" s="1"/>
  <c r="AM47" i="14" s="1"/>
  <c r="AP47" i="14" s="1"/>
  <c r="AX47" i="14"/>
  <c r="Y43" i="14"/>
  <c r="AC43" i="14" s="1"/>
  <c r="AJ43" i="14" s="1"/>
  <c r="AM43" i="14" s="1"/>
  <c r="AP43" i="14" s="1"/>
  <c r="AX43" i="14"/>
  <c r="Y44" i="14"/>
  <c r="AC44" i="14" s="1"/>
  <c r="AJ44" i="14" s="1"/>
  <c r="AM44" i="14" s="1"/>
  <c r="AP44" i="14" s="1"/>
  <c r="AX44" i="14"/>
  <c r="Y15" i="14"/>
  <c r="AC15" i="14" s="1"/>
  <c r="AJ15" i="14" s="1"/>
  <c r="AM15" i="14" s="1"/>
  <c r="AP15" i="14" s="1"/>
  <c r="AX15" i="14"/>
  <c r="Y10" i="14"/>
  <c r="AC10" i="14" s="1"/>
  <c r="AJ10" i="14" s="1"/>
  <c r="AX10" i="14"/>
  <c r="Y34" i="14"/>
  <c r="AC34" i="14" s="1"/>
  <c r="AJ34" i="14" s="1"/>
  <c r="AM34" i="14" s="1"/>
  <c r="AP34" i="14" s="1"/>
  <c r="AX34" i="14"/>
  <c r="Y36" i="14"/>
  <c r="AC36" i="14" s="1"/>
  <c r="AJ36" i="14" s="1"/>
  <c r="AM36" i="14" s="1"/>
  <c r="AP36" i="14" s="1"/>
  <c r="AX36" i="14"/>
  <c r="Y24" i="14"/>
  <c r="AC24" i="14" s="1"/>
  <c r="AJ24" i="14" s="1"/>
  <c r="AM24" i="14" s="1"/>
  <c r="AP24" i="14" s="1"/>
  <c r="AX24" i="14"/>
  <c r="Y20" i="14"/>
  <c r="AC20" i="14" s="1"/>
  <c r="AJ20" i="14" s="1"/>
  <c r="AM20" i="14" s="1"/>
  <c r="AP20" i="14" s="1"/>
  <c r="AX20" i="14"/>
  <c r="Y74" i="14"/>
  <c r="AC74" i="14" s="1"/>
  <c r="AJ74" i="14" s="1"/>
  <c r="AM74" i="14" s="1"/>
  <c r="AP74" i="14" s="1"/>
  <c r="AX74" i="14"/>
  <c r="Y68" i="14"/>
  <c r="AC68" i="14" s="1"/>
  <c r="AJ68" i="14" s="1"/>
  <c r="AM68" i="14" s="1"/>
  <c r="AP68" i="14" s="1"/>
  <c r="AX68" i="14"/>
  <c r="Y28" i="14"/>
  <c r="AC28" i="14" s="1"/>
  <c r="AJ28" i="14" s="1"/>
  <c r="AM28" i="14" s="1"/>
  <c r="AP28" i="14" s="1"/>
  <c r="AX28" i="14"/>
  <c r="Y6" i="14"/>
  <c r="AC6" i="14" s="1"/>
  <c r="AJ6" i="14" s="1"/>
  <c r="AM6" i="14" s="1"/>
  <c r="AP6" i="14" s="1"/>
  <c r="AX6" i="14"/>
  <c r="Y13" i="14"/>
  <c r="AC13" i="14" s="1"/>
  <c r="AJ13" i="14" s="1"/>
  <c r="AM13" i="14" s="1"/>
  <c r="AP13" i="14" s="1"/>
  <c r="AX13" i="14"/>
  <c r="Y78" i="14"/>
  <c r="AC78" i="14" s="1"/>
  <c r="AJ78" i="14" s="1"/>
  <c r="AM78" i="14" s="1"/>
  <c r="AP78" i="14" s="1"/>
  <c r="AX78" i="14"/>
  <c r="Y33" i="14"/>
  <c r="AC33" i="14" s="1"/>
  <c r="AJ33" i="14" s="1"/>
  <c r="AM33" i="14" s="1"/>
  <c r="AP33" i="14" s="1"/>
  <c r="AX33" i="14"/>
  <c r="Y49" i="14"/>
  <c r="AC49" i="14" s="1"/>
  <c r="AJ49" i="14" s="1"/>
  <c r="AM49" i="14" s="1"/>
  <c r="AP49" i="14" s="1"/>
  <c r="AX49" i="14"/>
  <c r="Y21" i="14"/>
  <c r="AC21" i="14" s="1"/>
  <c r="AJ21" i="14" s="1"/>
  <c r="AM21" i="14" s="1"/>
  <c r="AP21" i="14" s="1"/>
  <c r="AX21" i="14"/>
  <c r="Y11" i="14"/>
  <c r="AC11" i="14" s="1"/>
  <c r="AJ11" i="14" s="1"/>
  <c r="AM11" i="14" s="1"/>
  <c r="AP11" i="14" s="1"/>
  <c r="AX11" i="14"/>
  <c r="Y58" i="14"/>
  <c r="AC58" i="14" s="1"/>
  <c r="AJ58" i="14" s="1"/>
  <c r="AM58" i="14" s="1"/>
  <c r="AP58" i="14" s="1"/>
  <c r="AX58" i="14"/>
  <c r="Y30" i="14"/>
  <c r="AC30" i="14" s="1"/>
  <c r="AJ30" i="14" s="1"/>
  <c r="AM30" i="14" s="1"/>
  <c r="AP30" i="14" s="1"/>
  <c r="AX30" i="14"/>
  <c r="Y59" i="14"/>
  <c r="AC59" i="14" s="1"/>
  <c r="AJ59" i="14" s="1"/>
  <c r="AX59" i="14"/>
  <c r="Y48" i="14"/>
  <c r="AC48" i="14" s="1"/>
  <c r="AJ48" i="14" s="1"/>
  <c r="AM48" i="14" s="1"/>
  <c r="AP48" i="14" s="1"/>
  <c r="AX48" i="14"/>
  <c r="Y46" i="14"/>
  <c r="AC46" i="14" s="1"/>
  <c r="AJ46" i="14" s="1"/>
  <c r="AM46" i="14" s="1"/>
  <c r="AP46" i="14" s="1"/>
  <c r="AX46" i="14"/>
  <c r="Y39" i="14"/>
  <c r="AC39" i="14" s="1"/>
  <c r="AJ39" i="14" s="1"/>
  <c r="AM39" i="14" s="1"/>
  <c r="AP39" i="14" s="1"/>
  <c r="AX39" i="14"/>
  <c r="Y22" i="14"/>
  <c r="AC22" i="14" s="1"/>
  <c r="AJ22" i="14" s="1"/>
  <c r="AM22" i="14" s="1"/>
  <c r="AP22" i="14" s="1"/>
  <c r="AX22" i="14"/>
  <c r="Y75" i="14"/>
  <c r="AC75" i="14" s="1"/>
  <c r="AJ75" i="14" s="1"/>
  <c r="AM75" i="14" s="1"/>
  <c r="AP75" i="14" s="1"/>
  <c r="AX75" i="14"/>
  <c r="Y76" i="14"/>
  <c r="AC76" i="14" s="1"/>
  <c r="AJ76" i="14" s="1"/>
  <c r="AM76" i="14" s="1"/>
  <c r="AP76" i="14" s="1"/>
  <c r="AX76" i="14"/>
  <c r="Y66" i="14"/>
  <c r="AC66" i="14" s="1"/>
  <c r="AJ66" i="14" s="1"/>
  <c r="AM66" i="14" s="1"/>
  <c r="AP66" i="14" s="1"/>
  <c r="AX66" i="14"/>
  <c r="Y54" i="14"/>
  <c r="AC54" i="14" s="1"/>
  <c r="AJ54" i="14" s="1"/>
  <c r="AM54" i="14" s="1"/>
  <c r="AP54" i="14" s="1"/>
  <c r="AX54" i="14"/>
  <c r="Y35" i="14"/>
  <c r="AC35" i="14" s="1"/>
  <c r="AJ35" i="14" s="1"/>
  <c r="AM35" i="14" s="1"/>
  <c r="AP35" i="14" s="1"/>
  <c r="AX35" i="14"/>
  <c r="Y50" i="14"/>
  <c r="AC50" i="14" s="1"/>
  <c r="AJ50" i="14" s="1"/>
  <c r="AM50" i="14" s="1"/>
  <c r="AP50" i="14" s="1"/>
  <c r="AX50" i="14"/>
  <c r="Y56" i="14"/>
  <c r="AC56" i="14" s="1"/>
  <c r="AJ56" i="14" s="1"/>
  <c r="AM56" i="14" s="1"/>
  <c r="AP56" i="14" s="1"/>
  <c r="AX56" i="14"/>
  <c r="Y42" i="14"/>
  <c r="AC42" i="14" s="1"/>
  <c r="AJ42" i="14" s="1"/>
  <c r="AM42" i="14" s="1"/>
  <c r="AP42" i="14" s="1"/>
  <c r="AX42" i="14"/>
  <c r="Y57" i="14"/>
  <c r="AC57" i="14" s="1"/>
  <c r="AJ57" i="14" s="1"/>
  <c r="AM57" i="14" s="1"/>
  <c r="AP57" i="14" s="1"/>
  <c r="AX57" i="14"/>
  <c r="Y25" i="14"/>
  <c r="AC25" i="14" s="1"/>
  <c r="AJ25" i="14" s="1"/>
  <c r="AM25" i="14" s="1"/>
  <c r="AP25" i="14" s="1"/>
  <c r="AX25" i="14"/>
  <c r="Y7" i="14"/>
  <c r="AC7" i="14" s="1"/>
  <c r="AJ7" i="14" s="1"/>
  <c r="AM7" i="14" s="1"/>
  <c r="AP7" i="14" s="1"/>
  <c r="AX7" i="14"/>
  <c r="Y31" i="14"/>
  <c r="AC31" i="14" s="1"/>
  <c r="AJ31" i="14" s="1"/>
  <c r="AM31" i="14" s="1"/>
  <c r="AP31" i="14" s="1"/>
  <c r="AX31" i="14"/>
  <c r="Y29" i="14"/>
  <c r="AC29" i="14" s="1"/>
  <c r="AJ29" i="14" s="1"/>
  <c r="AX29" i="14"/>
  <c r="Y37" i="14"/>
  <c r="AC37" i="14" s="1"/>
  <c r="AJ37" i="14" s="1"/>
  <c r="AM37" i="14" s="1"/>
  <c r="AP37" i="14" s="1"/>
  <c r="AX37" i="14"/>
  <c r="Y27" i="14"/>
  <c r="AC27" i="14" s="1"/>
  <c r="AJ27" i="14" s="1"/>
  <c r="AM27" i="14" s="1"/>
  <c r="AP27" i="14" s="1"/>
  <c r="AX27" i="14"/>
  <c r="Y18" i="14"/>
  <c r="AC18" i="14" s="1"/>
  <c r="AJ18" i="14" s="1"/>
  <c r="AM18" i="14" s="1"/>
  <c r="AP18" i="14" s="1"/>
  <c r="AX18" i="14"/>
  <c r="Y51" i="14"/>
  <c r="AC51" i="14" s="1"/>
  <c r="AJ51" i="14" s="1"/>
  <c r="AM51" i="14" s="1"/>
  <c r="AP51" i="14" s="1"/>
  <c r="AX51" i="14"/>
  <c r="Y64" i="14"/>
  <c r="AC64" i="14" s="1"/>
  <c r="AJ64" i="14" s="1"/>
  <c r="AM64" i="14" s="1"/>
  <c r="AP64" i="14" s="1"/>
  <c r="AX64" i="14"/>
  <c r="Y53" i="14"/>
  <c r="AC53" i="14" s="1"/>
  <c r="AJ53" i="14" s="1"/>
  <c r="AM53" i="14" s="1"/>
  <c r="AP53" i="14" s="1"/>
  <c r="AX53" i="14"/>
  <c r="Y61" i="14"/>
  <c r="AC61" i="14" s="1"/>
  <c r="AJ61" i="14" s="1"/>
  <c r="AM61" i="14" s="1"/>
  <c r="AP61" i="14" s="1"/>
  <c r="AX61" i="14"/>
  <c r="Y72" i="14"/>
  <c r="AC72" i="14" s="1"/>
  <c r="AJ72" i="14" s="1"/>
  <c r="AM72" i="14" s="1"/>
  <c r="AP72" i="14" s="1"/>
  <c r="AX72" i="14"/>
  <c r="Y12" i="14"/>
  <c r="AC12" i="14" s="1"/>
  <c r="AJ12" i="14" s="1"/>
  <c r="AM12" i="14" s="1"/>
  <c r="AP12" i="14" s="1"/>
  <c r="AX12" i="14"/>
  <c r="Y41" i="14"/>
  <c r="AC41" i="14" s="1"/>
  <c r="AJ41" i="14" s="1"/>
  <c r="AM41" i="14" s="1"/>
  <c r="AP41" i="14" s="1"/>
  <c r="AX41" i="14"/>
  <c r="Y60" i="14"/>
  <c r="AC60" i="14" s="1"/>
  <c r="AJ60" i="14" s="1"/>
  <c r="AM60" i="14" s="1"/>
  <c r="AP60" i="14" s="1"/>
  <c r="AX60" i="14"/>
  <c r="Y65" i="14"/>
  <c r="AC65" i="14" s="1"/>
  <c r="AJ65" i="14" s="1"/>
  <c r="AX65" i="14"/>
  <c r="Y67" i="14"/>
  <c r="AC67" i="14" s="1"/>
  <c r="AJ67" i="14" s="1"/>
  <c r="AM67" i="14" s="1"/>
  <c r="AP67" i="14" s="1"/>
  <c r="AX67" i="14"/>
  <c r="Y45" i="14"/>
  <c r="AC45" i="14" s="1"/>
  <c r="AJ45" i="14" s="1"/>
  <c r="AM45" i="14" s="1"/>
  <c r="AP45" i="14" s="1"/>
  <c r="AX45" i="14"/>
  <c r="Y19" i="14"/>
  <c r="AC19" i="14" s="1"/>
  <c r="AJ19" i="14" s="1"/>
  <c r="AM19" i="14" s="1"/>
  <c r="AP19" i="14" s="1"/>
  <c r="AX19" i="14"/>
  <c r="Y17" i="14"/>
  <c r="AC17" i="14" s="1"/>
  <c r="AJ17" i="14" s="1"/>
  <c r="AM17" i="14" s="1"/>
  <c r="AP17" i="14" s="1"/>
  <c r="AX17" i="14"/>
  <c r="Y62" i="14"/>
  <c r="AC62" i="14" s="1"/>
  <c r="AJ62" i="14" s="1"/>
  <c r="AM62" i="14" s="1"/>
  <c r="AP62" i="14" s="1"/>
  <c r="AX62" i="14"/>
  <c r="Y8" i="14"/>
  <c r="AC8" i="14" s="1"/>
  <c r="AJ8" i="14" s="1"/>
  <c r="AX8" i="14"/>
  <c r="Y40" i="14"/>
  <c r="AC40" i="14" s="1"/>
  <c r="AJ40" i="14" s="1"/>
  <c r="AM40" i="14" s="1"/>
  <c r="AP40" i="14" s="1"/>
  <c r="AX40" i="14"/>
  <c r="Y70" i="14"/>
  <c r="AC70" i="14" s="1"/>
  <c r="AJ70" i="14" s="1"/>
  <c r="AM70" i="14" s="1"/>
  <c r="AP70" i="14" s="1"/>
  <c r="AX70" i="14"/>
  <c r="Y77" i="14"/>
  <c r="AC77" i="14" s="1"/>
  <c r="AJ77" i="14" s="1"/>
  <c r="AM77" i="14" s="1"/>
  <c r="AP77" i="14" s="1"/>
  <c r="AX77" i="14"/>
  <c r="Y9" i="14"/>
  <c r="AC9" i="14" s="1"/>
  <c r="AJ9" i="14" s="1"/>
  <c r="AM9" i="14" s="1"/>
  <c r="AP9" i="14" s="1"/>
  <c r="AX9" i="14"/>
  <c r="Y63" i="14"/>
  <c r="AC63" i="14" s="1"/>
  <c r="AJ63" i="14" s="1"/>
  <c r="AM63" i="14" s="1"/>
  <c r="AP63" i="14" s="1"/>
  <c r="AX63" i="14"/>
  <c r="Y52" i="14"/>
  <c r="AC52" i="14" s="1"/>
  <c r="AJ52" i="14" s="1"/>
  <c r="AX52" i="14"/>
  <c r="Y71" i="14"/>
  <c r="AC71" i="14" s="1"/>
  <c r="AJ71" i="14" s="1"/>
  <c r="AM71" i="14" s="1"/>
  <c r="AP71" i="14" s="1"/>
  <c r="AX71" i="14"/>
  <c r="Y38" i="14"/>
  <c r="AC38" i="14" s="1"/>
  <c r="AJ38" i="14" s="1"/>
  <c r="AM38" i="14" s="1"/>
  <c r="AP38" i="14" s="1"/>
  <c r="AX38" i="14"/>
  <c r="Y23" i="14"/>
  <c r="AC23" i="14" s="1"/>
  <c r="AJ23" i="14" s="1"/>
  <c r="AM23" i="14" s="1"/>
  <c r="AP23" i="14" s="1"/>
  <c r="AX23" i="14"/>
  <c r="Y73" i="14"/>
  <c r="AC73" i="14" s="1"/>
  <c r="AJ73" i="14" s="1"/>
  <c r="AM73" i="14" s="1"/>
  <c r="AP73" i="14" s="1"/>
  <c r="AX73" i="14"/>
  <c r="Y32" i="14"/>
  <c r="AC32" i="14" s="1"/>
  <c r="AJ32" i="14" s="1"/>
  <c r="AM32" i="14" s="1"/>
  <c r="AP32" i="14" s="1"/>
  <c r="AX32" i="14"/>
  <c r="Y14" i="14"/>
  <c r="AC14" i="14" s="1"/>
  <c r="AJ14" i="14" s="1"/>
  <c r="AM14" i="14" s="1"/>
  <c r="AP14" i="14" s="1"/>
  <c r="AX14" i="14"/>
  <c r="X16" i="14"/>
  <c r="AW16" i="14"/>
  <c r="X41" i="14"/>
  <c r="AW41" i="14"/>
  <c r="AN21" i="14"/>
  <c r="AQ21" i="14" s="1"/>
  <c r="AN11" i="14"/>
  <c r="AQ11" i="14" s="1"/>
  <c r="AW31" i="14"/>
  <c r="X31" i="14"/>
  <c r="AW56" i="14"/>
  <c r="X56" i="14"/>
  <c r="X29" i="14"/>
  <c r="AW29" i="14"/>
  <c r="AN20" i="14"/>
  <c r="AQ20" i="14" s="1"/>
  <c r="AW37" i="14"/>
  <c r="X37" i="14"/>
  <c r="AN74" i="14"/>
  <c r="AQ74" i="14" s="1"/>
  <c r="X27" i="14"/>
  <c r="AW27" i="14"/>
  <c r="AN18" i="14"/>
  <c r="AQ18" i="14" s="1"/>
  <c r="AM16" i="14"/>
  <c r="AP16" i="14" s="1"/>
  <c r="AN41" i="14"/>
  <c r="AQ41" i="14" s="1"/>
  <c r="X21" i="14"/>
  <c r="AW21" i="14"/>
  <c r="X11" i="14"/>
  <c r="AW11" i="14"/>
  <c r="AW64" i="14"/>
  <c r="X64" i="14"/>
  <c r="AW6" i="14"/>
  <c r="X6" i="14"/>
  <c r="X13" i="14"/>
  <c r="AW13" i="14"/>
  <c r="AN56" i="14"/>
  <c r="AQ56" i="14" s="1"/>
  <c r="AM29" i="14"/>
  <c r="AP29" i="14" s="1"/>
  <c r="X20" i="14"/>
  <c r="AW20" i="14"/>
  <c r="AW74" i="14"/>
  <c r="X74" i="14"/>
  <c r="AN69" i="14"/>
  <c r="AQ69" i="14" s="1"/>
  <c r="X35" i="14"/>
  <c r="AW35" i="14"/>
  <c r="AW25" i="14"/>
  <c r="X25" i="14"/>
  <c r="AN16" i="14"/>
  <c r="AQ16" i="14" s="1"/>
  <c r="AW72" i="14"/>
  <c r="X72" i="14"/>
  <c r="AW58" i="14"/>
  <c r="X58" i="14"/>
  <c r="X45" i="14"/>
  <c r="AW45" i="14"/>
  <c r="AN15" i="14"/>
  <c r="AQ15" i="14" s="1"/>
  <c r="AN48" i="14"/>
  <c r="AQ48" i="14" s="1"/>
  <c r="X53" i="14"/>
  <c r="AW53" i="14"/>
  <c r="AN78" i="14"/>
  <c r="AQ78" i="14" s="1"/>
  <c r="AN33" i="14"/>
  <c r="AQ33" i="14" s="1"/>
  <c r="AW61" i="14"/>
  <c r="X61" i="14"/>
  <c r="X44" i="14"/>
  <c r="AW44" i="14"/>
  <c r="AW30" i="14"/>
  <c r="X30" i="14"/>
  <c r="X65" i="14"/>
  <c r="AW65" i="14"/>
  <c r="AW15" i="14"/>
  <c r="X15" i="14"/>
  <c r="X67" i="14"/>
  <c r="AW67" i="14"/>
  <c r="AN72" i="14"/>
  <c r="AQ72" i="14" s="1"/>
  <c r="AW78" i="14"/>
  <c r="X78" i="14"/>
  <c r="X12" i="14"/>
  <c r="AW12" i="14"/>
  <c r="AW33" i="14"/>
  <c r="X33" i="14"/>
  <c r="AW49" i="14"/>
  <c r="X49" i="14"/>
  <c r="X60" i="14"/>
  <c r="AW60" i="14"/>
  <c r="AN62" i="14"/>
  <c r="AQ62" i="14" s="1"/>
  <c r="AW48" i="14"/>
  <c r="X48" i="14"/>
  <c r="AM59" i="14"/>
  <c r="AP59" i="14" s="1"/>
  <c r="AN34" i="14"/>
  <c r="AQ34" i="14" s="1"/>
  <c r="X57" i="14"/>
  <c r="AW57" i="14"/>
  <c r="AN75" i="14"/>
  <c r="AQ75" i="14" s="1"/>
  <c r="AW18" i="14"/>
  <c r="X18" i="14"/>
  <c r="AW28" i="14"/>
  <c r="X28" i="14"/>
  <c r="AN6" i="14"/>
  <c r="AQ6" i="14" s="1"/>
  <c r="X17" i="14"/>
  <c r="AW17" i="14"/>
  <c r="X62" i="14"/>
  <c r="AW62" i="14"/>
  <c r="AN23" i="14"/>
  <c r="AQ23" i="14" s="1"/>
  <c r="X5" i="14"/>
  <c r="AW5" i="14"/>
  <c r="AN47" i="14"/>
  <c r="AQ47" i="14" s="1"/>
  <c r="AM8" i="14"/>
  <c r="AP8" i="14" s="1"/>
  <c r="AW10" i="14"/>
  <c r="X10" i="14"/>
  <c r="AW34" i="14"/>
  <c r="X34" i="14"/>
  <c r="AN38" i="14"/>
  <c r="AQ38" i="14" s="1"/>
  <c r="X9" i="14"/>
  <c r="AW9" i="14"/>
  <c r="AN59" i="14"/>
  <c r="AQ59" i="14" s="1"/>
  <c r="AW47" i="14"/>
  <c r="X47" i="14"/>
  <c r="AW8" i="14"/>
  <c r="X8" i="14"/>
  <c r="AN40" i="14"/>
  <c r="AQ40" i="14" s="1"/>
  <c r="X75" i="14"/>
  <c r="AW75" i="14"/>
  <c r="AW77" i="14"/>
  <c r="X77" i="14"/>
  <c r="AN76" i="14"/>
  <c r="AQ76" i="14" s="1"/>
  <c r="AW66" i="14"/>
  <c r="X66" i="14"/>
  <c r="AN9" i="14"/>
  <c r="AQ9" i="14" s="1"/>
  <c r="AG5" i="14"/>
  <c r="AE5" i="14"/>
  <c r="AN73" i="14"/>
  <c r="AQ73" i="14" s="1"/>
  <c r="AM52" i="14"/>
  <c r="AP52" i="14" s="1"/>
  <c r="AW14" i="14"/>
  <c r="X14" i="14"/>
  <c r="X42" i="14"/>
  <c r="AW42" i="14"/>
  <c r="AW51" i="14"/>
  <c r="X51" i="14"/>
  <c r="AM65" i="14"/>
  <c r="AP65" i="14" s="1"/>
  <c r="AN71" i="14"/>
  <c r="AQ71" i="14" s="1"/>
  <c r="AN26" i="14"/>
  <c r="AQ26" i="14" s="1"/>
  <c r="X40" i="14"/>
  <c r="AW40" i="14"/>
  <c r="AW70" i="14"/>
  <c r="X70" i="14"/>
  <c r="AN77" i="14"/>
  <c r="AQ77" i="14" s="1"/>
  <c r="AW71" i="14"/>
  <c r="X71" i="14"/>
  <c r="AW23" i="14"/>
  <c r="X23" i="14"/>
  <c r="X26" i="14"/>
  <c r="AW26" i="14"/>
  <c r="AW46" i="14"/>
  <c r="X46" i="14"/>
  <c r="AM10" i="14"/>
  <c r="AP10" i="14" s="1"/>
  <c r="AW43" i="14"/>
  <c r="X43" i="14"/>
  <c r="X69" i="14"/>
  <c r="AW69" i="14"/>
  <c r="AW68" i="14"/>
  <c r="X68" i="14"/>
  <c r="X7" i="14"/>
  <c r="AW7" i="14"/>
  <c r="AN57" i="14"/>
  <c r="AQ57" i="14" s="1"/>
  <c r="W5" i="14"/>
  <c r="AA5" i="14"/>
  <c r="F5" i="14"/>
  <c r="I5" i="14" s="1"/>
  <c r="AW73" i="14"/>
  <c r="X73" i="14"/>
  <c r="X32" i="14"/>
  <c r="AW32" i="14"/>
  <c r="AN14" i="14"/>
  <c r="AQ14" i="14" s="1"/>
  <c r="AN22" i="14"/>
  <c r="AQ22" i="14" s="1"/>
  <c r="X36" i="14"/>
  <c r="AW36" i="14"/>
  <c r="AN37" i="14"/>
  <c r="AQ37" i="14" s="1"/>
  <c r="AN13" i="14"/>
  <c r="AQ13" i="14" s="1"/>
  <c r="AN44" i="14"/>
  <c r="AQ44" i="14" s="1"/>
  <c r="AW19" i="14"/>
  <c r="X19" i="14"/>
  <c r="AW76" i="14"/>
  <c r="X76" i="14"/>
  <c r="X38" i="14"/>
  <c r="AW38" i="14"/>
  <c r="X59" i="14"/>
  <c r="AW59" i="14"/>
  <c r="AM69" i="14"/>
  <c r="AP69" i="14" s="1"/>
  <c r="X55" i="14"/>
  <c r="AW55" i="14"/>
  <c r="X24" i="14"/>
  <c r="AW24" i="14"/>
  <c r="AW50" i="14"/>
  <c r="X50" i="14"/>
  <c r="AN7" i="14"/>
  <c r="AQ7" i="14" s="1"/>
  <c r="G5" i="14"/>
  <c r="J5" i="14" s="1"/>
  <c r="Z5" i="14" s="1"/>
  <c r="AB5" i="14"/>
  <c r="X54" i="14"/>
  <c r="AW54" i="14"/>
  <c r="X63" i="14"/>
  <c r="AW63" i="14"/>
  <c r="X39" i="14"/>
  <c r="AW39" i="14"/>
  <c r="X52" i="14"/>
  <c r="AW52" i="14"/>
  <c r="AW22" i="14"/>
  <c r="X22" i="14"/>
  <c r="X4" i="14"/>
  <c r="AW4" i="14"/>
  <c r="AA4" i="14"/>
  <c r="G4" i="14"/>
  <c r="J4" i="14" s="1"/>
  <c r="Z4" i="14" s="1"/>
  <c r="AD4" i="14" s="1"/>
  <c r="W4" i="14"/>
  <c r="F4" i="14"/>
  <c r="I4" i="14" s="1"/>
  <c r="B27" i="24" l="1"/>
  <c r="B17" i="24"/>
  <c r="B6" i="24"/>
  <c r="C6" i="24" s="1"/>
  <c r="B5" i="24"/>
  <c r="B33" i="24"/>
  <c r="B34" i="24" s="1"/>
  <c r="B7" i="24"/>
  <c r="C7" i="24" s="1"/>
  <c r="AK4" i="14"/>
  <c r="AI4" i="14"/>
  <c r="AL4" i="14" s="1"/>
  <c r="C17" i="24"/>
  <c r="Y4" i="14"/>
  <c r="AC4" i="14" s="1"/>
  <c r="AX4" i="14"/>
  <c r="Y5" i="14"/>
  <c r="AC5" i="14" s="1"/>
  <c r="AX5" i="14"/>
  <c r="AI71" i="14"/>
  <c r="AL71" i="14" s="1"/>
  <c r="AO71" i="14" s="1"/>
  <c r="AH71" i="14"/>
  <c r="BC71" i="14" s="1"/>
  <c r="AR71" i="14"/>
  <c r="BA71" i="14" s="1"/>
  <c r="BB71" i="14" s="1"/>
  <c r="AI42" i="14"/>
  <c r="AR42" i="14"/>
  <c r="BA42" i="14" s="1"/>
  <c r="BB42" i="14" s="1"/>
  <c r="AH42" i="14"/>
  <c r="BC42" i="14" s="1"/>
  <c r="AH58" i="14"/>
  <c r="AI58" i="14"/>
  <c r="AR58" i="14"/>
  <c r="BA58" i="14" s="1"/>
  <c r="BB58" i="14" s="1"/>
  <c r="AI25" i="14"/>
  <c r="AH25" i="14"/>
  <c r="BC25" i="14" s="1"/>
  <c r="AR25" i="14"/>
  <c r="BA25" i="14" s="1"/>
  <c r="BB25" i="14" s="1"/>
  <c r="AR36" i="14"/>
  <c r="BA36" i="14" s="1"/>
  <c r="BB36" i="14" s="1"/>
  <c r="AI36" i="14"/>
  <c r="AL36" i="14" s="1"/>
  <c r="AO36" i="14" s="1"/>
  <c r="AH36" i="14"/>
  <c r="BC36" i="14" s="1"/>
  <c r="AI75" i="14"/>
  <c r="AH75" i="14"/>
  <c r="AR75" i="14"/>
  <c r="BA75" i="14" s="1"/>
  <c r="BB75" i="14" s="1"/>
  <c r="AR9" i="14"/>
  <c r="BA9" i="14" s="1"/>
  <c r="BB9" i="14" s="1"/>
  <c r="AI9" i="14"/>
  <c r="AL9" i="14" s="1"/>
  <c r="AO9" i="14" s="1"/>
  <c r="AH9" i="14"/>
  <c r="BC9" i="14" s="1"/>
  <c r="AR17" i="14"/>
  <c r="BA17" i="14" s="1"/>
  <c r="BB17" i="14" s="1"/>
  <c r="AI17" i="14"/>
  <c r="AL17" i="14" s="1"/>
  <c r="AO17" i="14" s="1"/>
  <c r="AH17" i="14"/>
  <c r="BC17" i="14" s="1"/>
  <c r="AR12" i="14"/>
  <c r="BA12" i="14" s="1"/>
  <c r="BB12" i="14" s="1"/>
  <c r="AI12" i="14"/>
  <c r="AH12" i="14"/>
  <c r="BC12" i="14" s="1"/>
  <c r="AI64" i="14"/>
  <c r="AH64" i="14"/>
  <c r="BC64" i="14" s="1"/>
  <c r="AR64" i="14"/>
  <c r="BA64" i="14" s="1"/>
  <c r="BB64" i="14" s="1"/>
  <c r="AH63" i="14"/>
  <c r="BC63" i="14" s="1"/>
  <c r="AR63" i="14"/>
  <c r="BA63" i="14" s="1"/>
  <c r="BB63" i="14" s="1"/>
  <c r="AI63" i="14"/>
  <c r="AR68" i="14"/>
  <c r="BA68" i="14" s="1"/>
  <c r="BB68" i="14" s="1"/>
  <c r="AI68" i="14"/>
  <c r="AL68" i="14" s="1"/>
  <c r="AO68" i="14" s="1"/>
  <c r="AH68" i="14"/>
  <c r="BC68" i="14" s="1"/>
  <c r="AI66" i="14"/>
  <c r="AL66" i="14" s="1"/>
  <c r="AO66" i="14" s="1"/>
  <c r="AH66" i="14"/>
  <c r="BC66" i="14" s="1"/>
  <c r="AR66" i="14"/>
  <c r="BA66" i="14" s="1"/>
  <c r="BB66" i="14" s="1"/>
  <c r="AI5" i="14"/>
  <c r="AL5" i="14" s="1"/>
  <c r="AO5" i="14" s="1"/>
  <c r="AR28" i="14"/>
  <c r="BA28" i="14" s="1"/>
  <c r="BB28" i="14" s="1"/>
  <c r="AI28" i="14"/>
  <c r="AL28" i="14" s="1"/>
  <c r="AO28" i="14" s="1"/>
  <c r="AH28" i="14"/>
  <c r="BC28" i="14" s="1"/>
  <c r="AI61" i="14"/>
  <c r="AH61" i="14"/>
  <c r="BC61" i="14" s="1"/>
  <c r="AR61" i="14"/>
  <c r="BA61" i="14" s="1"/>
  <c r="BB61" i="14" s="1"/>
  <c r="AH35" i="14"/>
  <c r="BC35" i="14" s="1"/>
  <c r="AR35" i="14"/>
  <c r="BA35" i="14" s="1"/>
  <c r="BB35" i="14" s="1"/>
  <c r="AI35" i="14"/>
  <c r="AL35" i="14" s="1"/>
  <c r="AO35" i="14" s="1"/>
  <c r="AI29" i="14"/>
  <c r="AL29" i="14" s="1"/>
  <c r="AO29" i="14" s="1"/>
  <c r="AR29" i="14"/>
  <c r="BA29" i="14" s="1"/>
  <c r="BB29" i="14" s="1"/>
  <c r="AH29" i="14"/>
  <c r="BC29" i="14" s="1"/>
  <c r="AH41" i="14"/>
  <c r="AR41" i="14"/>
  <c r="BA41" i="14" s="1"/>
  <c r="BB41" i="14" s="1"/>
  <c r="AI41" i="14"/>
  <c r="AL41" i="14" s="1"/>
  <c r="AO41" i="14" s="1"/>
  <c r="AZ5" i="14"/>
  <c r="AY5" i="14"/>
  <c r="C33" i="24" s="1"/>
  <c r="BH5" i="14"/>
  <c r="AH70" i="14"/>
  <c r="BC70" i="14" s="1"/>
  <c r="AR70" i="14"/>
  <c r="BA70" i="14" s="1"/>
  <c r="BB70" i="14" s="1"/>
  <c r="AI70" i="14"/>
  <c r="AL70" i="14" s="1"/>
  <c r="AO70" i="14" s="1"/>
  <c r="AR8" i="14"/>
  <c r="BA8" i="14" s="1"/>
  <c r="BB8" i="14" s="1"/>
  <c r="AH8" i="14"/>
  <c r="BC8" i="14" s="1"/>
  <c r="AI8" i="14"/>
  <c r="AR34" i="14"/>
  <c r="BA34" i="14" s="1"/>
  <c r="BB34" i="14" s="1"/>
  <c r="AH34" i="14"/>
  <c r="BC34" i="14" s="1"/>
  <c r="AI34" i="14"/>
  <c r="AL34" i="14" s="1"/>
  <c r="AO34" i="14" s="1"/>
  <c r="AR49" i="14"/>
  <c r="BA49" i="14" s="1"/>
  <c r="BB49" i="14" s="1"/>
  <c r="AI49" i="14"/>
  <c r="AL49" i="14" s="1"/>
  <c r="AO49" i="14" s="1"/>
  <c r="AH49" i="14"/>
  <c r="AI27" i="14"/>
  <c r="AL27" i="14" s="1"/>
  <c r="AO27" i="14" s="1"/>
  <c r="AH27" i="14"/>
  <c r="BC27" i="14" s="1"/>
  <c r="AR27" i="14"/>
  <c r="BA27" i="14" s="1"/>
  <c r="BB27" i="14" s="1"/>
  <c r="AR60" i="14"/>
  <c r="BA60" i="14" s="1"/>
  <c r="BB60" i="14" s="1"/>
  <c r="AI60" i="14"/>
  <c r="AL60" i="14" s="1"/>
  <c r="AO60" i="14" s="1"/>
  <c r="AH60" i="14"/>
  <c r="BC60" i="14" s="1"/>
  <c r="AI52" i="14"/>
  <c r="AL52" i="14" s="1"/>
  <c r="AO52" i="14" s="1"/>
  <c r="AR52" i="14"/>
  <c r="BA52" i="14" s="1"/>
  <c r="BB52" i="14" s="1"/>
  <c r="AH52" i="14"/>
  <c r="BC52" i="14" s="1"/>
  <c r="AI11" i="14"/>
  <c r="AH11" i="14"/>
  <c r="BC11" i="14" s="1"/>
  <c r="AR11" i="14"/>
  <c r="BA11" i="14" s="1"/>
  <c r="BB11" i="14" s="1"/>
  <c r="AR26" i="14"/>
  <c r="BA26" i="14" s="1"/>
  <c r="BB26" i="14" s="1"/>
  <c r="AI26" i="14"/>
  <c r="AL26" i="14" s="1"/>
  <c r="AO26" i="14" s="1"/>
  <c r="AH26" i="14"/>
  <c r="BC26" i="14" s="1"/>
  <c r="AR50" i="14"/>
  <c r="BA50" i="14" s="1"/>
  <c r="BB50" i="14" s="1"/>
  <c r="AI50" i="14"/>
  <c r="AL50" i="14" s="1"/>
  <c r="AO50" i="14" s="1"/>
  <c r="AH50" i="14"/>
  <c r="BC50" i="14" s="1"/>
  <c r="AI78" i="14"/>
  <c r="AR78" i="14"/>
  <c r="BA78" i="14" s="1"/>
  <c r="BB78" i="14" s="1"/>
  <c r="AH78" i="14"/>
  <c r="BC78" i="14" s="1"/>
  <c r="AR54" i="14"/>
  <c r="BA54" i="14" s="1"/>
  <c r="BB54" i="14" s="1"/>
  <c r="AI54" i="14"/>
  <c r="AL54" i="14" s="1"/>
  <c r="AO54" i="14" s="1"/>
  <c r="AH54" i="14"/>
  <c r="BC54" i="14" s="1"/>
  <c r="AH47" i="14"/>
  <c r="BC47" i="14" s="1"/>
  <c r="AI47" i="14"/>
  <c r="AR47" i="14"/>
  <c r="BA47" i="14" s="1"/>
  <c r="BB47" i="14" s="1"/>
  <c r="AD5" i="14"/>
  <c r="AI69" i="14"/>
  <c r="AL69" i="14" s="1"/>
  <c r="AO69" i="14" s="1"/>
  <c r="AH69" i="14"/>
  <c r="BC69" i="14" s="1"/>
  <c r="AR69" i="14"/>
  <c r="BA69" i="14" s="1"/>
  <c r="BB69" i="14" s="1"/>
  <c r="AI23" i="14"/>
  <c r="AR23" i="14"/>
  <c r="BA23" i="14" s="1"/>
  <c r="BB23" i="14" s="1"/>
  <c r="AH23" i="14"/>
  <c r="BC23" i="14" s="1"/>
  <c r="AR40" i="14"/>
  <c r="BA40" i="14" s="1"/>
  <c r="BB40" i="14" s="1"/>
  <c r="AI40" i="14"/>
  <c r="AH40" i="14"/>
  <c r="BC40" i="14" s="1"/>
  <c r="AI10" i="14"/>
  <c r="AL10" i="14" s="1"/>
  <c r="AO10" i="14" s="1"/>
  <c r="AR10" i="14"/>
  <c r="BA10" i="14" s="1"/>
  <c r="BB10" i="14" s="1"/>
  <c r="AH10" i="14"/>
  <c r="BC10" i="14" s="1"/>
  <c r="AH18" i="14"/>
  <c r="BC18" i="14" s="1"/>
  <c r="AI18" i="14"/>
  <c r="AL18" i="14" s="1"/>
  <c r="AO18" i="14" s="1"/>
  <c r="AR18" i="14"/>
  <c r="BA18" i="14" s="1"/>
  <c r="BB18" i="14" s="1"/>
  <c r="AH67" i="14"/>
  <c r="BC67" i="14" s="1"/>
  <c r="AR67" i="14"/>
  <c r="BA67" i="14" s="1"/>
  <c r="BB67" i="14" s="1"/>
  <c r="AI67" i="14"/>
  <c r="AI65" i="14"/>
  <c r="AH65" i="14"/>
  <c r="BC65" i="14" s="1"/>
  <c r="AR65" i="14"/>
  <c r="BA65" i="14" s="1"/>
  <c r="BB65" i="14" s="1"/>
  <c r="AI74" i="14"/>
  <c r="AL74" i="14" s="1"/>
  <c r="AO74" i="14" s="1"/>
  <c r="AR74" i="14"/>
  <c r="BA74" i="14" s="1"/>
  <c r="BB74" i="14" s="1"/>
  <c r="AH74" i="14"/>
  <c r="BC74" i="14" s="1"/>
  <c r="AH21" i="14"/>
  <c r="AI21" i="14"/>
  <c r="AR21" i="14"/>
  <c r="BA21" i="14" s="1"/>
  <c r="BB21" i="14" s="1"/>
  <c r="AI31" i="14"/>
  <c r="AL31" i="14" s="1"/>
  <c r="AO31" i="14" s="1"/>
  <c r="AH31" i="14"/>
  <c r="BC31" i="14" s="1"/>
  <c r="AR31" i="14"/>
  <c r="BA31" i="14" s="1"/>
  <c r="BB31" i="14" s="1"/>
  <c r="AI19" i="14"/>
  <c r="AH19" i="14"/>
  <c r="AR19" i="14"/>
  <c r="BA19" i="14" s="1"/>
  <c r="BB19" i="14" s="1"/>
  <c r="AI57" i="14"/>
  <c r="AL57" i="14" s="1"/>
  <c r="AO57" i="14" s="1"/>
  <c r="AR57" i="14"/>
  <c r="BA57" i="14" s="1"/>
  <c r="BB57" i="14" s="1"/>
  <c r="AH57" i="14"/>
  <c r="BC57" i="14" s="1"/>
  <c r="AI15" i="14"/>
  <c r="AL15" i="14" s="1"/>
  <c r="AO15" i="14" s="1"/>
  <c r="AH15" i="14"/>
  <c r="BC15" i="14" s="1"/>
  <c r="AR15" i="14"/>
  <c r="BA15" i="14" s="1"/>
  <c r="BB15" i="14" s="1"/>
  <c r="AI72" i="14"/>
  <c r="AL72" i="14" s="1"/>
  <c r="AO72" i="14" s="1"/>
  <c r="AH72" i="14"/>
  <c r="BC72" i="14" s="1"/>
  <c r="AR72" i="14"/>
  <c r="BA72" i="14" s="1"/>
  <c r="BB72" i="14" s="1"/>
  <c r="AH20" i="14"/>
  <c r="BC20" i="14" s="1"/>
  <c r="AI20" i="14"/>
  <c r="AR20" i="14"/>
  <c r="BA20" i="14" s="1"/>
  <c r="BB20" i="14" s="1"/>
  <c r="AH59" i="14"/>
  <c r="BC59" i="14" s="1"/>
  <c r="AR59" i="14"/>
  <c r="BA59" i="14" s="1"/>
  <c r="BB59" i="14" s="1"/>
  <c r="AI59" i="14"/>
  <c r="AR46" i="14"/>
  <c r="BA46" i="14" s="1"/>
  <c r="BB46" i="14" s="1"/>
  <c r="AH46" i="14"/>
  <c r="BC46" i="14" s="1"/>
  <c r="AI46" i="14"/>
  <c r="AH38" i="14"/>
  <c r="BC38" i="14" s="1"/>
  <c r="AI38" i="14"/>
  <c r="AR38" i="14"/>
  <c r="BA38" i="14" s="1"/>
  <c r="BB38" i="14" s="1"/>
  <c r="AR55" i="14"/>
  <c r="BA55" i="14" s="1"/>
  <c r="BB55" i="14" s="1"/>
  <c r="AI55" i="14"/>
  <c r="AH55" i="14"/>
  <c r="AR76" i="14"/>
  <c r="BA76" i="14" s="1"/>
  <c r="BB76" i="14" s="1"/>
  <c r="AI76" i="14"/>
  <c r="AH76" i="14"/>
  <c r="BC76" i="14" s="1"/>
  <c r="AR32" i="14"/>
  <c r="BA32" i="14" s="1"/>
  <c r="BB32" i="14" s="1"/>
  <c r="AH32" i="14"/>
  <c r="BC32" i="14" s="1"/>
  <c r="AI32" i="14"/>
  <c r="AL32" i="14" s="1"/>
  <c r="AO32" i="14" s="1"/>
  <c r="AI43" i="14"/>
  <c r="AH43" i="14"/>
  <c r="BC43" i="14" s="1"/>
  <c r="AR43" i="14"/>
  <c r="BA43" i="14" s="1"/>
  <c r="BB43" i="14" s="1"/>
  <c r="AH51" i="14"/>
  <c r="BC51" i="14" s="1"/>
  <c r="AI51" i="14"/>
  <c r="AL51" i="14" s="1"/>
  <c r="AO51" i="14" s="1"/>
  <c r="AR51" i="14"/>
  <c r="BA51" i="14" s="1"/>
  <c r="BB51" i="14" s="1"/>
  <c r="AI77" i="14"/>
  <c r="AL77" i="14" s="1"/>
  <c r="AO77" i="14" s="1"/>
  <c r="AH77" i="14"/>
  <c r="BC77" i="14" s="1"/>
  <c r="AR77" i="14"/>
  <c r="BA77" i="14" s="1"/>
  <c r="BB77" i="14" s="1"/>
  <c r="AI48" i="14"/>
  <c r="AL48" i="14" s="1"/>
  <c r="AO48" i="14" s="1"/>
  <c r="AH48" i="14"/>
  <c r="BC48" i="14" s="1"/>
  <c r="AR48" i="14"/>
  <c r="BA48" i="14" s="1"/>
  <c r="BB48" i="14" s="1"/>
  <c r="AH33" i="14"/>
  <c r="BC33" i="14" s="1"/>
  <c r="AI33" i="14"/>
  <c r="AR33" i="14"/>
  <c r="BA33" i="14" s="1"/>
  <c r="BB33" i="14" s="1"/>
  <c r="AH45" i="14"/>
  <c r="AI45" i="14"/>
  <c r="AR45" i="14"/>
  <c r="BA45" i="14" s="1"/>
  <c r="BB45" i="14" s="1"/>
  <c r="AI13" i="14"/>
  <c r="AH13" i="14"/>
  <c r="BC13" i="14" s="1"/>
  <c r="AR13" i="14"/>
  <c r="BA13" i="14" s="1"/>
  <c r="BB13" i="14" s="1"/>
  <c r="AI37" i="14"/>
  <c r="AH37" i="14"/>
  <c r="BC37" i="14" s="1"/>
  <c r="AR37" i="14"/>
  <c r="BA37" i="14" s="1"/>
  <c r="BB37" i="14" s="1"/>
  <c r="AI16" i="14"/>
  <c r="AL16" i="14" s="1"/>
  <c r="AO16" i="14" s="1"/>
  <c r="AH16" i="14"/>
  <c r="BC16" i="14" s="1"/>
  <c r="AR16" i="14"/>
  <c r="BA16" i="14" s="1"/>
  <c r="BB16" i="14" s="1"/>
  <c r="AR53" i="14"/>
  <c r="BA53" i="14" s="1"/>
  <c r="BB53" i="14" s="1"/>
  <c r="AH53" i="14"/>
  <c r="BC53" i="14" s="1"/>
  <c r="AI53" i="14"/>
  <c r="AI22" i="14"/>
  <c r="AL22" i="14" s="1"/>
  <c r="AO22" i="14" s="1"/>
  <c r="AR22" i="14"/>
  <c r="BA22" i="14" s="1"/>
  <c r="BB22" i="14" s="1"/>
  <c r="AH22" i="14"/>
  <c r="BC22" i="14" s="1"/>
  <c r="AH14" i="14"/>
  <c r="BC14" i="14" s="1"/>
  <c r="AI14" i="14"/>
  <c r="AL14" i="14" s="1"/>
  <c r="AO14" i="14" s="1"/>
  <c r="AR14" i="14"/>
  <c r="BA14" i="14" s="1"/>
  <c r="BB14" i="14" s="1"/>
  <c r="AI44" i="14"/>
  <c r="AH44" i="14"/>
  <c r="BC44" i="14" s="1"/>
  <c r="AR44" i="14"/>
  <c r="BA44" i="14" s="1"/>
  <c r="BB44" i="14" s="1"/>
  <c r="AR24" i="14"/>
  <c r="BA24" i="14" s="1"/>
  <c r="BB24" i="14" s="1"/>
  <c r="AH24" i="14"/>
  <c r="BC24" i="14" s="1"/>
  <c r="AI24" i="14"/>
  <c r="AL24" i="14" s="1"/>
  <c r="AO24" i="14" s="1"/>
  <c r="AH56" i="14"/>
  <c r="AI56" i="14"/>
  <c r="AL56" i="14" s="1"/>
  <c r="AO56" i="14" s="1"/>
  <c r="AR56" i="14"/>
  <c r="BA56" i="14" s="1"/>
  <c r="BB56" i="14" s="1"/>
  <c r="AI39" i="14"/>
  <c r="AH39" i="14"/>
  <c r="AR39" i="14"/>
  <c r="BA39" i="14" s="1"/>
  <c r="BB39" i="14" s="1"/>
  <c r="AH73" i="14"/>
  <c r="BC73" i="14" s="1"/>
  <c r="AR73" i="14"/>
  <c r="BA73" i="14" s="1"/>
  <c r="BB73" i="14" s="1"/>
  <c r="AI73" i="14"/>
  <c r="AI7" i="14"/>
  <c r="AL7" i="14" s="1"/>
  <c r="AO7" i="14" s="1"/>
  <c r="AH7" i="14"/>
  <c r="AR7" i="14"/>
  <c r="BA7" i="14" s="1"/>
  <c r="BB7" i="14" s="1"/>
  <c r="AH62" i="14"/>
  <c r="BC62" i="14" s="1"/>
  <c r="AI62" i="14"/>
  <c r="AR62" i="14"/>
  <c r="BA62" i="14" s="1"/>
  <c r="BB62" i="14" s="1"/>
  <c r="AI30" i="14"/>
  <c r="AL30" i="14" s="1"/>
  <c r="AO30" i="14" s="1"/>
  <c r="AR30" i="14"/>
  <c r="BA30" i="14" s="1"/>
  <c r="BB30" i="14" s="1"/>
  <c r="AH30" i="14"/>
  <c r="AI6" i="14"/>
  <c r="AL6" i="14" s="1"/>
  <c r="AO6" i="14" s="1"/>
  <c r="AR6" i="14"/>
  <c r="BA6" i="14" s="1"/>
  <c r="BB6" i="14" s="1"/>
  <c r="AH6" i="14"/>
  <c r="BC6" i="14" s="1"/>
  <c r="AN4" i="14"/>
  <c r="AQ4" i="14" s="1"/>
  <c r="AF4" i="14"/>
  <c r="AG4" i="14"/>
  <c r="B12" i="24" s="1"/>
  <c r="AE4" i="14"/>
  <c r="BH4" i="14"/>
  <c r="AY4" i="14"/>
  <c r="AZ4" i="14"/>
  <c r="D2" i="16"/>
  <c r="D14" i="16"/>
  <c r="C34" i="24" l="1"/>
  <c r="B11" i="24"/>
  <c r="C11" i="24" s="1"/>
  <c r="B10" i="24"/>
  <c r="C10" i="24" s="1"/>
  <c r="AJ5" i="14"/>
  <c r="AM5" i="14" s="1"/>
  <c r="AP5" i="14" s="1"/>
  <c r="B18" i="24"/>
  <c r="C18" i="24" s="1"/>
  <c r="AK5" i="14"/>
  <c r="AN5" i="14" s="1"/>
  <c r="AQ5" i="14" s="1"/>
  <c r="B19" i="24"/>
  <c r="C19" i="24" s="1"/>
  <c r="B26" i="24"/>
  <c r="C26" i="24" s="1"/>
  <c r="B25" i="24"/>
  <c r="C25" i="24" s="1"/>
  <c r="AJ4" i="14"/>
  <c r="C27" i="24"/>
  <c r="B8" i="24"/>
  <c r="C5" i="24"/>
  <c r="C8" i="24" s="1"/>
  <c r="Q11" i="21"/>
  <c r="P11" i="21" s="1"/>
  <c r="Q6" i="21"/>
  <c r="I6" i="21" s="1"/>
  <c r="C12" i="24"/>
  <c r="Q12" i="21"/>
  <c r="O12" i="21" s="1"/>
  <c r="Q10" i="21"/>
  <c r="BD32" i="14"/>
  <c r="BF32" i="14" s="1"/>
  <c r="BI32" i="14" s="1"/>
  <c r="BD46" i="14"/>
  <c r="BF46" i="14" s="1"/>
  <c r="BI46" i="14" s="1"/>
  <c r="Q5" i="21"/>
  <c r="D5" i="21" s="1"/>
  <c r="D13" i="21" s="1"/>
  <c r="BD34" i="14"/>
  <c r="BF34" i="14" s="1"/>
  <c r="BI34" i="14" s="1"/>
  <c r="BD60" i="14"/>
  <c r="BF60" i="14" s="1"/>
  <c r="BI60" i="14" s="1"/>
  <c r="AO4" i="14"/>
  <c r="BD12" i="14"/>
  <c r="BF12" i="14" s="1"/>
  <c r="BI12" i="14" s="1"/>
  <c r="BD52" i="14"/>
  <c r="BF52" i="14" s="1"/>
  <c r="BI52" i="14" s="1"/>
  <c r="BD57" i="14"/>
  <c r="BF57" i="14" s="1"/>
  <c r="BI57" i="14" s="1"/>
  <c r="BD74" i="14"/>
  <c r="BF74" i="14" s="1"/>
  <c r="BI74" i="14" s="1"/>
  <c r="BD10" i="14"/>
  <c r="BF10" i="14" s="1"/>
  <c r="BI10" i="14" s="1"/>
  <c r="BD42" i="14"/>
  <c r="BF42" i="14" s="1"/>
  <c r="BI42" i="14" s="1"/>
  <c r="BD69" i="14"/>
  <c r="BF69" i="14" s="1"/>
  <c r="BI69" i="14" s="1"/>
  <c r="BD40" i="14"/>
  <c r="BF40" i="14" s="1"/>
  <c r="BI40" i="14" s="1"/>
  <c r="BD20" i="14"/>
  <c r="BF20" i="14" s="1"/>
  <c r="BI20" i="14" s="1"/>
  <c r="BD13" i="14"/>
  <c r="BF13" i="14" s="1"/>
  <c r="BI13" i="14" s="1"/>
  <c r="BD70" i="14"/>
  <c r="BF70" i="14" s="1"/>
  <c r="BI70" i="14" s="1"/>
  <c r="AR5" i="14"/>
  <c r="BD64" i="14"/>
  <c r="BF64" i="14" s="1"/>
  <c r="BI64" i="14" s="1"/>
  <c r="BD11" i="14"/>
  <c r="BF11" i="14" s="1"/>
  <c r="BI11" i="14" s="1"/>
  <c r="BD38" i="14"/>
  <c r="BF38" i="14" s="1"/>
  <c r="BI38" i="14" s="1"/>
  <c r="BD67" i="14"/>
  <c r="BF67" i="14" s="1"/>
  <c r="BI67" i="14" s="1"/>
  <c r="BD78" i="14"/>
  <c r="BF78" i="14" s="1"/>
  <c r="BI78" i="14" s="1"/>
  <c r="BD14" i="14"/>
  <c r="BF14" i="14" s="1"/>
  <c r="BI14" i="14" s="1"/>
  <c r="AL62" i="14"/>
  <c r="AO62" i="14" s="1"/>
  <c r="AL39" i="14"/>
  <c r="AO39" i="14" s="1"/>
  <c r="AL37" i="14"/>
  <c r="AO37" i="14" s="1"/>
  <c r="BD15" i="14"/>
  <c r="BF15" i="14" s="1"/>
  <c r="BI15" i="14" s="1"/>
  <c r="AL21" i="14"/>
  <c r="AO21" i="14" s="1"/>
  <c r="AL23" i="14"/>
  <c r="AO23" i="14" s="1"/>
  <c r="BD27" i="14"/>
  <c r="BF27" i="14" s="1"/>
  <c r="BI27" i="14" s="1"/>
  <c r="BD63" i="14"/>
  <c r="BF63" i="14" s="1"/>
  <c r="BI63" i="14" s="1"/>
  <c r="AL58" i="14"/>
  <c r="AO58" i="14" s="1"/>
  <c r="BD62" i="14"/>
  <c r="BF62" i="14" s="1"/>
  <c r="BI62" i="14" s="1"/>
  <c r="BD22" i="14"/>
  <c r="BF22" i="14" s="1"/>
  <c r="BI22" i="14" s="1"/>
  <c r="BC21" i="14"/>
  <c r="BD21" i="14" s="1"/>
  <c r="BF21" i="14" s="1"/>
  <c r="BI21" i="14" s="1"/>
  <c r="AH5" i="14"/>
  <c r="BC58" i="14"/>
  <c r="BD58" i="14" s="1"/>
  <c r="BF58" i="14" s="1"/>
  <c r="BI58" i="14" s="1"/>
  <c r="AL76" i="14"/>
  <c r="AO76" i="14" s="1"/>
  <c r="AL11" i="14"/>
  <c r="AO11" i="14" s="1"/>
  <c r="BD66" i="14"/>
  <c r="BF66" i="14" s="1"/>
  <c r="BI66" i="14" s="1"/>
  <c r="AL64" i="14"/>
  <c r="AO64" i="14" s="1"/>
  <c r="BD59" i="14"/>
  <c r="BF59" i="14" s="1"/>
  <c r="BI59" i="14" s="1"/>
  <c r="BD6" i="14"/>
  <c r="BF6" i="14" s="1"/>
  <c r="BI6" i="14" s="1"/>
  <c r="BD24" i="14"/>
  <c r="BF24" i="14" s="1"/>
  <c r="BI24" i="14" s="1"/>
  <c r="BD53" i="14"/>
  <c r="BF53" i="14" s="1"/>
  <c r="BI53" i="14" s="1"/>
  <c r="AL45" i="14"/>
  <c r="AO45" i="14" s="1"/>
  <c r="BC55" i="14"/>
  <c r="BD55" i="14" s="1"/>
  <c r="BF55" i="14" s="1"/>
  <c r="BI55" i="14" s="1"/>
  <c r="BE5" i="14"/>
  <c r="BD61" i="14"/>
  <c r="BF61" i="14" s="1"/>
  <c r="BI61" i="14" s="1"/>
  <c r="BD68" i="14"/>
  <c r="BF68" i="14" s="1"/>
  <c r="BI68" i="14" s="1"/>
  <c r="AL12" i="14"/>
  <c r="AO12" i="14" s="1"/>
  <c r="BD36" i="14"/>
  <c r="BF36" i="14" s="1"/>
  <c r="BI36" i="14" s="1"/>
  <c r="BC39" i="14"/>
  <c r="BD39" i="14" s="1"/>
  <c r="BF39" i="14" s="1"/>
  <c r="BI39" i="14" s="1"/>
  <c r="AL46" i="14"/>
  <c r="AO46" i="14" s="1"/>
  <c r="BD77" i="14"/>
  <c r="BF77" i="14" s="1"/>
  <c r="BI77" i="14" s="1"/>
  <c r="BC7" i="14"/>
  <c r="BD7" i="14" s="1"/>
  <c r="BF7" i="14" s="1"/>
  <c r="BI7" i="14" s="1"/>
  <c r="AL20" i="14"/>
  <c r="AO20" i="14" s="1"/>
  <c r="AL61" i="14"/>
  <c r="AO61" i="14" s="1"/>
  <c r="AL42" i="14"/>
  <c r="AO42" i="14" s="1"/>
  <c r="BD65" i="14"/>
  <c r="BF65" i="14" s="1"/>
  <c r="BI65" i="14" s="1"/>
  <c r="AL47" i="14"/>
  <c r="AO47" i="14" s="1"/>
  <c r="BC30" i="14"/>
  <c r="BD30" i="14" s="1"/>
  <c r="BF30" i="14" s="1"/>
  <c r="BI30" i="14" s="1"/>
  <c r="BD73" i="14"/>
  <c r="BF73" i="14" s="1"/>
  <c r="BI73" i="14" s="1"/>
  <c r="BD44" i="14"/>
  <c r="BF44" i="14" s="1"/>
  <c r="BI44" i="14" s="1"/>
  <c r="BD16" i="14"/>
  <c r="BF16" i="14" s="1"/>
  <c r="BI16" i="14" s="1"/>
  <c r="AL33" i="14"/>
  <c r="AO33" i="14" s="1"/>
  <c r="AL65" i="14"/>
  <c r="AO65" i="14" s="1"/>
  <c r="AL40" i="14"/>
  <c r="AO40" i="14" s="1"/>
  <c r="BD47" i="14"/>
  <c r="BF47" i="14" s="1"/>
  <c r="BI47" i="14" s="1"/>
  <c r="BD28" i="14"/>
  <c r="BF28" i="14" s="1"/>
  <c r="BI28" i="14" s="1"/>
  <c r="BD71" i="14"/>
  <c r="BF71" i="14" s="1"/>
  <c r="BI71" i="14" s="1"/>
  <c r="BD37" i="14"/>
  <c r="BF37" i="14" s="1"/>
  <c r="BI37" i="14" s="1"/>
  <c r="AL59" i="14"/>
  <c r="AO59" i="14" s="1"/>
  <c r="BC75" i="14"/>
  <c r="BD75" i="14" s="1"/>
  <c r="BF75" i="14" s="1"/>
  <c r="BI75" i="14" s="1"/>
  <c r="BC56" i="14"/>
  <c r="BD56" i="14" s="1"/>
  <c r="BF56" i="14" s="1"/>
  <c r="BI56" i="14" s="1"/>
  <c r="BD50" i="14"/>
  <c r="BF50" i="14" s="1"/>
  <c r="BI50" i="14" s="1"/>
  <c r="BD35" i="14"/>
  <c r="BF35" i="14" s="1"/>
  <c r="BI35" i="14" s="1"/>
  <c r="AL75" i="14"/>
  <c r="AO75" i="14" s="1"/>
  <c r="AL53" i="14"/>
  <c r="AO53" i="14" s="1"/>
  <c r="AL73" i="14"/>
  <c r="AO73" i="14" s="1"/>
  <c r="BC45" i="14"/>
  <c r="BD45" i="14" s="1"/>
  <c r="BF45" i="14" s="1"/>
  <c r="BI45" i="14" s="1"/>
  <c r="AL55" i="14"/>
  <c r="AO55" i="14" s="1"/>
  <c r="BC19" i="14"/>
  <c r="BD19" i="14" s="1"/>
  <c r="BF19" i="14" s="1"/>
  <c r="BI19" i="14" s="1"/>
  <c r="BD51" i="14"/>
  <c r="BF51" i="14" s="1"/>
  <c r="BI51" i="14" s="1"/>
  <c r="AL19" i="14"/>
  <c r="AO19" i="14" s="1"/>
  <c r="BD17" i="14"/>
  <c r="BF17" i="14" s="1"/>
  <c r="BI17" i="14" s="1"/>
  <c r="AL44" i="14"/>
  <c r="AO44" i="14" s="1"/>
  <c r="BD33" i="14"/>
  <c r="BF33" i="14" s="1"/>
  <c r="BI33" i="14" s="1"/>
  <c r="BD43" i="14"/>
  <c r="BF43" i="14" s="1"/>
  <c r="BI43" i="14" s="1"/>
  <c r="AL38" i="14"/>
  <c r="AO38" i="14" s="1"/>
  <c r="BD72" i="14"/>
  <c r="BF72" i="14" s="1"/>
  <c r="BI72" i="14" s="1"/>
  <c r="BD31" i="14"/>
  <c r="BF31" i="14" s="1"/>
  <c r="BI31" i="14" s="1"/>
  <c r="AL67" i="14"/>
  <c r="AO67" i="14" s="1"/>
  <c r="BD54" i="14"/>
  <c r="BF54" i="14" s="1"/>
  <c r="BI54" i="14" s="1"/>
  <c r="AL8" i="14"/>
  <c r="AO8" i="14" s="1"/>
  <c r="BC41" i="14"/>
  <c r="BD41" i="14" s="1"/>
  <c r="BF41" i="14" s="1"/>
  <c r="BI41" i="14" s="1"/>
  <c r="BD25" i="14"/>
  <c r="BF25" i="14" s="1"/>
  <c r="BI25" i="14" s="1"/>
  <c r="BD76" i="14"/>
  <c r="BF76" i="14" s="1"/>
  <c r="BI76" i="14" s="1"/>
  <c r="BD18" i="14"/>
  <c r="BF18" i="14" s="1"/>
  <c r="BI18" i="14" s="1"/>
  <c r="AL78" i="14"/>
  <c r="AO78" i="14" s="1"/>
  <c r="BC49" i="14"/>
  <c r="BD49" i="14" s="1"/>
  <c r="BF49" i="14" s="1"/>
  <c r="BI49" i="14" s="1"/>
  <c r="AL13" i="14"/>
  <c r="AO13" i="14" s="1"/>
  <c r="BD48" i="14"/>
  <c r="BF48" i="14" s="1"/>
  <c r="BI48" i="14" s="1"/>
  <c r="AL43" i="14"/>
  <c r="AO43" i="14" s="1"/>
  <c r="BD23" i="14"/>
  <c r="BF23" i="14" s="1"/>
  <c r="BI23" i="14" s="1"/>
  <c r="BD26" i="14"/>
  <c r="BF26" i="14" s="1"/>
  <c r="BI26" i="14" s="1"/>
  <c r="BD8" i="14"/>
  <c r="BF8" i="14" s="1"/>
  <c r="BI8" i="14" s="1"/>
  <c r="BD29" i="14"/>
  <c r="BF29" i="14" s="1"/>
  <c r="BI29" i="14" s="1"/>
  <c r="AL63" i="14"/>
  <c r="AO63" i="14" s="1"/>
  <c r="BD9" i="14"/>
  <c r="BF9" i="14" s="1"/>
  <c r="BI9" i="14" s="1"/>
  <c r="AL25" i="14"/>
  <c r="AO25" i="14" s="1"/>
  <c r="AM4" i="14"/>
  <c r="AP4" i="14" s="1"/>
  <c r="AR4" i="14"/>
  <c r="AH4" i="14"/>
  <c r="BE4" i="14"/>
  <c r="D33" i="16"/>
  <c r="D32" i="16"/>
  <c r="D27" i="16"/>
  <c r="D23" i="16"/>
  <c r="B19" i="13"/>
  <c r="D20" i="16"/>
  <c r="D21" i="16"/>
  <c r="D13" i="16"/>
  <c r="D11" i="16"/>
  <c r="D10" i="16"/>
  <c r="D9" i="16"/>
  <c r="B14" i="24" l="1"/>
  <c r="C14" i="24" s="1"/>
  <c r="C30" i="24" s="1"/>
  <c r="M12" i="21"/>
  <c r="N12" i="21"/>
  <c r="N11" i="21"/>
  <c r="BC5" i="14"/>
  <c r="B15" i="24"/>
  <c r="C15" i="24" s="1"/>
  <c r="O11" i="21"/>
  <c r="O13" i="21" s="1"/>
  <c r="P12" i="21"/>
  <c r="P13" i="21" s="1"/>
  <c r="Q8" i="21"/>
  <c r="M11" i="21"/>
  <c r="R8" i="21"/>
  <c r="BA5" i="14"/>
  <c r="D24" i="16"/>
  <c r="AV4" i="14"/>
  <c r="B24" i="24" s="1"/>
  <c r="BA4" i="14"/>
  <c r="B30" i="24" l="1"/>
  <c r="N13" i="21"/>
  <c r="R10" i="21"/>
  <c r="S10" i="21" s="1"/>
  <c r="M10" i="21" s="1"/>
  <c r="C24" i="24"/>
  <c r="C31" i="24" s="1"/>
  <c r="C37" i="24" s="1"/>
  <c r="C38" i="24" s="1"/>
  <c r="A38" i="24" s="1"/>
  <c r="S8" i="21"/>
  <c r="M8" i="21" s="1"/>
  <c r="BB5" i="14"/>
  <c r="BD5" i="14" s="1"/>
  <c r="BF5" i="14" s="1"/>
  <c r="BI5" i="14" s="1"/>
  <c r="A13" i="14"/>
  <c r="A12" i="14"/>
  <c r="A11" i="14"/>
  <c r="A10" i="14"/>
  <c r="B29" i="16" s="1"/>
  <c r="D29" i="16" s="1"/>
  <c r="A9" i="14"/>
  <c r="A8" i="14"/>
  <c r="A7" i="14"/>
  <c r="A6" i="14"/>
  <c r="A5" i="14"/>
  <c r="H79" i="11" l="1"/>
  <c r="H67" i="11"/>
  <c r="H55" i="11"/>
  <c r="H43" i="11"/>
  <c r="H31" i="11"/>
  <c r="H19" i="11"/>
  <c r="H52" i="11"/>
  <c r="H40" i="11"/>
  <c r="H37" i="11"/>
  <c r="H36" i="11"/>
  <c r="H12" i="11"/>
  <c r="H35" i="11"/>
  <c r="H11" i="11"/>
  <c r="H34" i="11"/>
  <c r="H33" i="11"/>
  <c r="H44" i="11"/>
  <c r="H78" i="11"/>
  <c r="H66" i="11"/>
  <c r="H54" i="11"/>
  <c r="H42" i="11"/>
  <c r="H30" i="11"/>
  <c r="H18" i="11"/>
  <c r="H64" i="11"/>
  <c r="H28" i="11"/>
  <c r="H60" i="11"/>
  <c r="H47" i="11"/>
  <c r="H46" i="11"/>
  <c r="H57" i="11"/>
  <c r="H56" i="11"/>
  <c r="H77" i="11"/>
  <c r="H65" i="11"/>
  <c r="H53" i="11"/>
  <c r="H41" i="11"/>
  <c r="H29" i="11"/>
  <c r="H17" i="11"/>
  <c r="H76" i="11"/>
  <c r="H16" i="11"/>
  <c r="H25" i="11"/>
  <c r="H48" i="11"/>
  <c r="H59" i="11"/>
  <c r="H58" i="11"/>
  <c r="H45" i="11"/>
  <c r="H32" i="11"/>
  <c r="H75" i="11"/>
  <c r="H63" i="11"/>
  <c r="H51" i="11"/>
  <c r="H39" i="11"/>
  <c r="H27" i="11"/>
  <c r="H15" i="11"/>
  <c r="H74" i="11"/>
  <c r="H62" i="11"/>
  <c r="H50" i="11"/>
  <c r="H38" i="11"/>
  <c r="H26" i="11"/>
  <c r="H14" i="11"/>
  <c r="H73" i="11"/>
  <c r="H61" i="11"/>
  <c r="H49" i="11"/>
  <c r="H13" i="11"/>
  <c r="H72" i="11"/>
  <c r="H24" i="11"/>
  <c r="H71" i="11"/>
  <c r="H23" i="11"/>
  <c r="H70" i="11"/>
  <c r="H22" i="11"/>
  <c r="H69" i="11"/>
  <c r="H21" i="11"/>
  <c r="H68" i="11"/>
  <c r="H20" i="11"/>
  <c r="B2" i="16" a="1"/>
  <c r="B2" i="16" s="1"/>
  <c r="G8" i="21"/>
  <c r="G10" i="21"/>
  <c r="K10" i="21"/>
  <c r="K8" i="21"/>
  <c r="I10" i="21"/>
  <c r="I8" i="21"/>
  <c r="I13" i="21" s="1"/>
  <c r="M13" i="21"/>
  <c r="D18" i="16"/>
  <c r="D16" i="16"/>
  <c r="D17" i="16"/>
  <c r="B24" i="16"/>
  <c r="C24" i="16" s="1"/>
  <c r="B25" i="16"/>
  <c r="C25" i="16" s="1"/>
  <c r="B26" i="16"/>
  <c r="C26" i="16" s="1"/>
  <c r="B13" i="16"/>
  <c r="C13" i="16" s="1"/>
  <c r="B14" i="16"/>
  <c r="C14" i="16" s="1"/>
  <c r="H5" i="11"/>
  <c r="H6" i="11"/>
  <c r="H8" i="11"/>
  <c r="H9" i="11"/>
  <c r="H10" i="11"/>
  <c r="H7" i="11"/>
  <c r="B23" i="16"/>
  <c r="C23" i="16" s="1"/>
  <c r="B18" i="16"/>
  <c r="C18" i="16" s="1"/>
  <c r="B17" i="16"/>
  <c r="C17" i="16" s="1"/>
  <c r="C32" i="16"/>
  <c r="B32" i="16"/>
  <c r="B33" i="16" s="1"/>
  <c r="B16" i="16"/>
  <c r="C16" i="16" s="1"/>
  <c r="C33" i="16"/>
  <c r="B21" i="16"/>
  <c r="C21" i="16" s="1"/>
  <c r="B27" i="16"/>
  <c r="C27" i="16" s="1"/>
  <c r="C35" i="16"/>
  <c r="B9" i="16"/>
  <c r="C9" i="16" s="1"/>
  <c r="B5" i="16"/>
  <c r="C5" i="16" s="1"/>
  <c r="B4" i="16"/>
  <c r="B6" i="16"/>
  <c r="C6" i="16" s="1"/>
  <c r="B10" i="16"/>
  <c r="C10" i="16" s="1"/>
  <c r="G13" i="21" l="1"/>
  <c r="K13" i="21"/>
  <c r="J34" i="11"/>
  <c r="J32" i="11"/>
  <c r="J74" i="11"/>
  <c r="J42" i="11"/>
  <c r="J63" i="11"/>
  <c r="J46" i="11"/>
  <c r="J45" i="11"/>
  <c r="J48" i="11"/>
  <c r="J62" i="11"/>
  <c r="J66" i="11"/>
  <c r="J64" i="11"/>
  <c r="J30" i="11"/>
  <c r="J78" i="11"/>
  <c r="J57" i="11"/>
  <c r="J72" i="11"/>
  <c r="J33" i="11"/>
  <c r="J40" i="11"/>
  <c r="J52" i="11"/>
  <c r="J31" i="11"/>
  <c r="J67" i="11"/>
  <c r="J75" i="11"/>
  <c r="J51" i="11"/>
  <c r="J60" i="11"/>
  <c r="J79" i="11"/>
  <c r="J61" i="11"/>
  <c r="J39" i="11"/>
  <c r="J68" i="11"/>
  <c r="J41" i="11"/>
  <c r="J71" i="11"/>
  <c r="J59" i="11"/>
  <c r="H4" i="11"/>
  <c r="J44" i="11"/>
  <c r="J73" i="11"/>
  <c r="J43" i="11"/>
  <c r="J55" i="11"/>
  <c r="J58" i="11"/>
  <c r="J77" i="11"/>
  <c r="J38" i="11"/>
  <c r="J47" i="11"/>
  <c r="J65" i="11"/>
  <c r="J53" i="11"/>
  <c r="J36" i="11"/>
  <c r="J37" i="11"/>
  <c r="J69" i="11"/>
  <c r="J70" i="11"/>
  <c r="J35" i="11"/>
  <c r="J54" i="11"/>
  <c r="J56" i="11"/>
  <c r="J49" i="11"/>
  <c r="J50" i="11"/>
  <c r="J76" i="11"/>
  <c r="J12" i="11"/>
  <c r="J24" i="11"/>
  <c r="J18" i="11"/>
  <c r="J16" i="11"/>
  <c r="J28" i="11"/>
  <c r="J21" i="11"/>
  <c r="J19" i="11"/>
  <c r="J20" i="11"/>
  <c r="J8" i="11"/>
  <c r="J14" i="11"/>
  <c r="J10" i="11"/>
  <c r="J13" i="11"/>
  <c r="J26" i="11"/>
  <c r="J17" i="11"/>
  <c r="J22" i="11"/>
  <c r="J25" i="11"/>
  <c r="J29" i="11"/>
  <c r="J23" i="11"/>
  <c r="J7" i="11"/>
  <c r="J15" i="11"/>
  <c r="J9" i="11"/>
  <c r="J11" i="11"/>
  <c r="J6" i="11"/>
  <c r="J27" i="11"/>
  <c r="C4" i="16"/>
  <c r="C7" i="16" s="1"/>
  <c r="B7" i="16"/>
  <c r="B11" i="16" l="1"/>
  <c r="BB4" i="14"/>
  <c r="C11" i="16" l="1"/>
  <c r="C29" i="16" s="1"/>
  <c r="B20" i="16" l="1"/>
  <c r="C20" i="16" s="1"/>
  <c r="C30" i="16" s="1"/>
  <c r="C36" i="16" s="1"/>
  <c r="BC4" i="14"/>
  <c r="BD4" i="14" s="1"/>
  <c r="I4" i="11" l="1"/>
  <c r="BF4" i="14"/>
  <c r="BI4" i="14" s="1"/>
  <c r="C37" i="16"/>
  <c r="A37" i="16" s="1"/>
  <c r="J5" i="11" l="1"/>
  <c r="J4" i="11" s="1"/>
  <c r="D37" i="24"/>
  <c r="D38" i="24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C1FE518-6D77-4F71-9FC9-93A26522B7D3}" keepAlive="1" name="Consulta - Table001 (Page 2)" description="Conexión a la consulta 'Table001 (Page 2)' en el libro." type="5" refreshedVersion="0" background="1" saveData="1">
    <dbPr connection="Provider=Microsoft.Mashup.OleDb.1;Data Source=$Workbook$;Location=&quot;Table001 (Page 2)&quot;;Extended Properties=&quot;&quot;" command="SELECT * FROM [Table001 (Page 2)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<sst xmlns="http://schemas.openxmlformats.org/spreadsheetml/2006/main" count="418" uniqueCount="293">
  <si>
    <t>Ciclo</t>
  </si>
  <si>
    <t>Lote</t>
  </si>
  <si>
    <t>_3_años</t>
  </si>
  <si>
    <t>_4_años</t>
  </si>
  <si>
    <t>_5_años</t>
  </si>
  <si>
    <t>Poda</t>
  </si>
  <si>
    <t>Jornales</t>
  </si>
  <si>
    <t>Deshije</t>
  </si>
  <si>
    <t>Nutrición</t>
  </si>
  <si>
    <t>Manejo de malezas</t>
  </si>
  <si>
    <t>Litros de herbicida</t>
  </si>
  <si>
    <t>Aplicaciones de fungicida</t>
  </si>
  <si>
    <t>Litros de fungicida</t>
  </si>
  <si>
    <t>Manejo de sombra</t>
  </si>
  <si>
    <t>Cosecha</t>
  </si>
  <si>
    <t>Costo de corte por quintal cereza</t>
  </si>
  <si>
    <t>Gastos administrativos</t>
  </si>
  <si>
    <t>Total costos y gastos</t>
  </si>
  <si>
    <t>Ingresos</t>
  </si>
  <si>
    <t>Producción</t>
  </si>
  <si>
    <t>Crecimiento</t>
  </si>
  <si>
    <t>Insumos</t>
  </si>
  <si>
    <t>Fungicida</t>
  </si>
  <si>
    <t>Unidad de medida</t>
  </si>
  <si>
    <t>Hectárea</t>
  </si>
  <si>
    <t>plantas por día</t>
  </si>
  <si>
    <t>Jornales por Ha.</t>
  </si>
  <si>
    <t>Jornal</t>
  </si>
  <si>
    <t>N</t>
  </si>
  <si>
    <t>P</t>
  </si>
  <si>
    <t>K</t>
  </si>
  <si>
    <t>Aplicación de herbicida</t>
  </si>
  <si>
    <t>Litros Herbicida</t>
  </si>
  <si>
    <t>Litros de herbicida por Ha. Por Año</t>
  </si>
  <si>
    <t>Preventivo de plagas</t>
  </si>
  <si>
    <t>Preventivo de enfermedades - Plantas en crecimiento</t>
  </si>
  <si>
    <t>Preventivo de enfermedades - Plantas en producción</t>
  </si>
  <si>
    <t>Enfermedades - Crecimiento</t>
  </si>
  <si>
    <t>Enfermedades - Producción</t>
  </si>
  <si>
    <t>Poscosecha</t>
  </si>
  <si>
    <t>Costo de beneficiado por quintal pergo.</t>
  </si>
  <si>
    <t>Precio de venta quintal cereza</t>
  </si>
  <si>
    <t>Precio de venta segunda</t>
  </si>
  <si>
    <t>Precio de venta inferiores</t>
  </si>
  <si>
    <t>Costo cosecha y poscosecha</t>
  </si>
  <si>
    <t>Gastos administrativos:</t>
  </si>
  <si>
    <t>Salarios</t>
  </si>
  <si>
    <t>MO</t>
  </si>
  <si>
    <t>Aplicación de fertilizante</t>
  </si>
  <si>
    <t>Cantidad de aplicaciones de herbicida</t>
  </si>
  <si>
    <t>Litros Fungicida</t>
  </si>
  <si>
    <t>Litro por Ha.</t>
  </si>
  <si>
    <t>Precosecha</t>
  </si>
  <si>
    <t>Cosecha y Post</t>
  </si>
  <si>
    <t>Poda paliativa</t>
  </si>
  <si>
    <t>Poda Paliativa</t>
  </si>
  <si>
    <t>SMT</t>
  </si>
  <si>
    <t>Jornales / Cantidad</t>
  </si>
  <si>
    <t>Observaciones</t>
  </si>
  <si>
    <t>Para plantas en crecimiento</t>
  </si>
  <si>
    <t>Para plantas en crecimiento y producción</t>
  </si>
  <si>
    <t>Del total del fertilizante:</t>
  </si>
  <si>
    <t>Para plantas solo en producción</t>
  </si>
  <si>
    <t>Quintales de fertilizante</t>
  </si>
  <si>
    <t>Prevención de plagas y enfermedades</t>
  </si>
  <si>
    <t>Dosis fungicida</t>
  </si>
  <si>
    <t>cc por Ha.</t>
  </si>
  <si>
    <t>Corte</t>
  </si>
  <si>
    <t>Beneficiado</t>
  </si>
  <si>
    <t>Café de primera</t>
  </si>
  <si>
    <t>Café de segunda</t>
  </si>
  <si>
    <t>Café inferior</t>
  </si>
  <si>
    <t>Total ingresos</t>
  </si>
  <si>
    <t>Quintales por jornal</t>
  </si>
  <si>
    <t>Manzana</t>
  </si>
  <si>
    <t>Cuerda (436.7 m²)</t>
  </si>
  <si>
    <t>Cuerda (625 m²) - 30 x 30 Varas</t>
  </si>
  <si>
    <t>Cuerda (713 m²) - 32 x 32 varas</t>
  </si>
  <si>
    <t>Cuerda (1116 m²) - 40 x 40 varas</t>
  </si>
  <si>
    <t>Diseño</t>
  </si>
  <si>
    <t>Surco</t>
  </si>
  <si>
    <t>Bloque</t>
  </si>
  <si>
    <t>Que no deje un año posterior al actual</t>
  </si>
  <si>
    <t>cuantos años lleva de implementado</t>
  </si>
  <si>
    <t>Si E5 = 0, y Diseño = Surco, 0.33 en crecimiento</t>
  </si>
  <si>
    <t>Si E5 = 1, y Diseño = Surco, 0.33 en crecimiento, 0.33 en crecimiento y producción</t>
  </si>
  <si>
    <t>Si E5 = 2, y Diseño = Surco y ciclo= 3, 33% en crecimiento, 33% en crecimiento y producción, 33% en produción</t>
  </si>
  <si>
    <t>Si E5 &gt; 2, y Diseño = Surco y ciclo= 3, 33% en crecimiento, 33% en crecimiento y producción, 33% en produción</t>
  </si>
  <si>
    <t>En_Bloque</t>
  </si>
  <si>
    <t>Por_Surcos</t>
  </si>
  <si>
    <t>Lote 1</t>
  </si>
  <si>
    <t>Lote 2</t>
  </si>
  <si>
    <t>Lote 3</t>
  </si>
  <si>
    <t>Lote 4</t>
  </si>
  <si>
    <t>Lote 5</t>
  </si>
  <si>
    <t>Lote 6</t>
  </si>
  <si>
    <t>Lote 7</t>
  </si>
  <si>
    <t>Lote 8</t>
  </si>
  <si>
    <t>Lote 9</t>
  </si>
  <si>
    <t>Lote 10</t>
  </si>
  <si>
    <t>Lote 11</t>
  </si>
  <si>
    <t>Lote 12</t>
  </si>
  <si>
    <t>Lote 13</t>
  </si>
  <si>
    <t>Lote 14</t>
  </si>
  <si>
    <t>Lote 15</t>
  </si>
  <si>
    <t>Lote 16</t>
  </si>
  <si>
    <t>Lote 17</t>
  </si>
  <si>
    <t>Lote 18</t>
  </si>
  <si>
    <t>Lote 19</t>
  </si>
  <si>
    <t>Lote 20</t>
  </si>
  <si>
    <t>Lote 21</t>
  </si>
  <si>
    <t>Lote 22</t>
  </si>
  <si>
    <t>Lote 23</t>
  </si>
  <si>
    <t>Lote 24</t>
  </si>
  <si>
    <t>Lote 25</t>
  </si>
  <si>
    <t>C&amp;P</t>
  </si>
  <si>
    <t>Solo Prod</t>
  </si>
  <si>
    <t>Bloques</t>
  </si>
  <si>
    <t>Solo Producción</t>
  </si>
  <si>
    <t>1 y 2</t>
  </si>
  <si>
    <t>3 y 4</t>
  </si>
  <si>
    <t xml:space="preserve">1 y 2 </t>
  </si>
  <si>
    <t>3, 4 y 5</t>
  </si>
  <si>
    <t>S1</t>
  </si>
  <si>
    <t>S2</t>
  </si>
  <si>
    <t>S3</t>
  </si>
  <si>
    <t>S4</t>
  </si>
  <si>
    <t>S5</t>
  </si>
  <si>
    <t>S6</t>
  </si>
  <si>
    <t>C3</t>
  </si>
  <si>
    <t>C4</t>
  </si>
  <si>
    <t>C5</t>
  </si>
  <si>
    <t>C6</t>
  </si>
  <si>
    <t>Prod</t>
  </si>
  <si>
    <t>UM</t>
  </si>
  <si>
    <t>Eq</t>
  </si>
  <si>
    <t>Mts2</t>
  </si>
  <si>
    <t>Distancia entre Calles</t>
  </si>
  <si>
    <t>Distancia entre Plantas</t>
  </si>
  <si>
    <t>% Efectivo de plantas</t>
  </si>
  <si>
    <t>Si</t>
  </si>
  <si>
    <t>Área</t>
  </si>
  <si>
    <t>Conv. Has.</t>
  </si>
  <si>
    <t>Plantas En Crecimiento</t>
  </si>
  <si>
    <t>Has. En Crecimiento</t>
  </si>
  <si>
    <t>Has. En Crecimiento &amp; Producción</t>
  </si>
  <si>
    <t>Plantas En Crecimiento &amp; Producción</t>
  </si>
  <si>
    <t>Plantas Solo en Producción</t>
  </si>
  <si>
    <t>Has. En Solo Producción</t>
  </si>
  <si>
    <t>Otros</t>
  </si>
  <si>
    <t>Gastos administrativos | Proporcional Lote</t>
  </si>
  <si>
    <t>Detalle Gastos Administrativos</t>
  </si>
  <si>
    <t>Total Costos</t>
  </si>
  <si>
    <t>Administrativo</t>
  </si>
  <si>
    <t>Plagas MO</t>
  </si>
  <si>
    <t>Cantidad</t>
  </si>
  <si>
    <t>Poda | Jornales</t>
  </si>
  <si>
    <t>Poda paliativa | Jornales</t>
  </si>
  <si>
    <t>Deshije | Jornales</t>
  </si>
  <si>
    <t>Aplicación de fertilizante | Jornales</t>
  </si>
  <si>
    <t>Aplicación de herbicida | Jornales</t>
  </si>
  <si>
    <t>Aplicación de fungicida| Jornales</t>
  </si>
  <si>
    <t>Para bloque / calle en crecimiento</t>
  </si>
  <si>
    <t>Para bloque / calle en producción</t>
  </si>
  <si>
    <t>Total Mano de Obra</t>
  </si>
  <si>
    <t>Total Insumos</t>
  </si>
  <si>
    <t>Costo precosecha</t>
  </si>
  <si>
    <t>Prevención de plagas | Jornales</t>
  </si>
  <si>
    <t>Egresos</t>
  </si>
  <si>
    <t>Reposo</t>
  </si>
  <si>
    <t>3 Años</t>
  </si>
  <si>
    <t>Año 2</t>
  </si>
  <si>
    <t>Año 3</t>
  </si>
  <si>
    <t>4 años</t>
  </si>
  <si>
    <t>Año 4</t>
  </si>
  <si>
    <t>Año 5</t>
  </si>
  <si>
    <t>5 años</t>
  </si>
  <si>
    <t>Año 1</t>
  </si>
  <si>
    <t>Plantas</t>
  </si>
  <si>
    <t>Solo Crecimiento</t>
  </si>
  <si>
    <t>Crecimiento &amp; Producción</t>
  </si>
  <si>
    <t>Para Producción</t>
  </si>
  <si>
    <t>Para Desarrollo Veg.</t>
  </si>
  <si>
    <t>Crecimiento y Producción</t>
  </si>
  <si>
    <t>Nutrición MO</t>
  </si>
  <si>
    <t>Fertilizante</t>
  </si>
  <si>
    <t>Costo del fertilizante</t>
  </si>
  <si>
    <t>Fórmula del fertilizante a utilizar</t>
  </si>
  <si>
    <t>Costo del herbicida</t>
  </si>
  <si>
    <t>Litro</t>
  </si>
  <si>
    <t>Costo del fungicida</t>
  </si>
  <si>
    <t>Aplicaciones</t>
  </si>
  <si>
    <t>SC</t>
  </si>
  <si>
    <t>SP</t>
  </si>
  <si>
    <t>Oz Año por planta</t>
  </si>
  <si>
    <t>Oz por Aplicación</t>
  </si>
  <si>
    <t>Por Quintal</t>
  </si>
  <si>
    <t>Actividad / Insumo</t>
  </si>
  <si>
    <t>Costo / Rendimiento</t>
  </si>
  <si>
    <t>Lote 26</t>
  </si>
  <si>
    <t>Lote 27</t>
  </si>
  <si>
    <t>Lote 28</t>
  </si>
  <si>
    <t>Lote 29</t>
  </si>
  <si>
    <t>Lote 30</t>
  </si>
  <si>
    <t>Lote 31</t>
  </si>
  <si>
    <t>Lote 32</t>
  </si>
  <si>
    <t>Lote 33</t>
  </si>
  <si>
    <t>Lote 34</t>
  </si>
  <si>
    <t>Lote 35</t>
  </si>
  <si>
    <t>Lote 36</t>
  </si>
  <si>
    <t>Lote 37</t>
  </si>
  <si>
    <t>Lote 38</t>
  </si>
  <si>
    <t>Lote 39</t>
  </si>
  <si>
    <t>Lote 40</t>
  </si>
  <si>
    <t>Lote 41</t>
  </si>
  <si>
    <t>Lote 42</t>
  </si>
  <si>
    <t>Lote 43</t>
  </si>
  <si>
    <t>Lote 44</t>
  </si>
  <si>
    <t>Lote 45</t>
  </si>
  <si>
    <t>Lote 46</t>
  </si>
  <si>
    <t>Lote 47</t>
  </si>
  <si>
    <t>Lote 48</t>
  </si>
  <si>
    <t>Lote 49</t>
  </si>
  <si>
    <t>Lote 50</t>
  </si>
  <si>
    <t>Lote 51</t>
  </si>
  <si>
    <t>Lote 52</t>
  </si>
  <si>
    <t>Lote 53</t>
  </si>
  <si>
    <t>Lote 54</t>
  </si>
  <si>
    <t>Lote 55</t>
  </si>
  <si>
    <t>Lote 56</t>
  </si>
  <si>
    <t>Lote 57</t>
  </si>
  <si>
    <t>Lote 58</t>
  </si>
  <si>
    <t>Lote 59</t>
  </si>
  <si>
    <t>Lote 60</t>
  </si>
  <si>
    <t>Lote 61</t>
  </si>
  <si>
    <t>Lote 62</t>
  </si>
  <si>
    <t>Lote 63</t>
  </si>
  <si>
    <t>Lote 64</t>
  </si>
  <si>
    <t>Lote 65</t>
  </si>
  <si>
    <t>Lote 66</t>
  </si>
  <si>
    <t>Lote 67</t>
  </si>
  <si>
    <t>Lote 68</t>
  </si>
  <si>
    <t>Lote 69</t>
  </si>
  <si>
    <t>Lote 70</t>
  </si>
  <si>
    <t>Lote 71</t>
  </si>
  <si>
    <t>Lote 72</t>
  </si>
  <si>
    <t>Lote 73</t>
  </si>
  <si>
    <t>Lote 74</t>
  </si>
  <si>
    <t>Lote 75</t>
  </si>
  <si>
    <t>Año de Rentabilidad Sustentable</t>
  </si>
  <si>
    <t>Rentabilidad Sustentable 
Detalle de presupuesto por lote</t>
  </si>
  <si>
    <t>Mes de inicio de ciclo productivo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</si>
  <si>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</si>
  <si>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</si>
  <si>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</si>
  <si>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</si>
  <si>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</si>
  <si>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</si>
  <si>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</si>
  <si>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</si>
  <si>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</si>
  <si>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Actividades</t>
  </si>
  <si>
    <t>Prevención de plagas</t>
  </si>
  <si>
    <t>Prevención de enfermedades</t>
  </si>
  <si>
    <t>Presupuesto Mensual</t>
  </si>
  <si>
    <t>Actividad</t>
  </si>
  <si>
    <t>Fecha</t>
  </si>
  <si>
    <t>Estimación Mensual</t>
  </si>
  <si>
    <t>Rentabilidad Sustentable 
Detalle de ejecución presupuestaria</t>
  </si>
  <si>
    <t>Detalle</t>
  </si>
  <si>
    <t>Venta de café de primera</t>
  </si>
  <si>
    <t>Venta de café inferior</t>
  </si>
  <si>
    <t>Sistema de Manejo de Tejido | SMT |</t>
  </si>
  <si>
    <t>Manejo_de_malezas</t>
  </si>
  <si>
    <t>Manejo_de_plagas_y_enfermedades</t>
  </si>
  <si>
    <t xml:space="preserve">Valor Q. </t>
  </si>
  <si>
    <t>Ventas</t>
  </si>
  <si>
    <t>Cosecha_y_Poscosecha</t>
  </si>
  <si>
    <t>Venta de café de segunda</t>
  </si>
  <si>
    <t>Compra de fertilizante</t>
  </si>
  <si>
    <t>Aplicación de fungicida</t>
  </si>
  <si>
    <t>Compra de fungicida</t>
  </si>
  <si>
    <t>Manejo de plagas</t>
  </si>
  <si>
    <t>Compra de herbicida</t>
  </si>
  <si>
    <t>Administrativos</t>
  </si>
  <si>
    <t>Detalle Presupuesto</t>
  </si>
  <si>
    <t>Resultado Presupuesto</t>
  </si>
  <si>
    <t>Presupuesto</t>
  </si>
  <si>
    <t>Concepto</t>
  </si>
  <si>
    <t>Café de primera (Quintales Cereza)</t>
  </si>
  <si>
    <t>Detalle Costo Unitario / Rendimiento</t>
  </si>
  <si>
    <t>Ejecución</t>
  </si>
  <si>
    <t>Rentabilidad Sustentable 
Detalle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</si>
</sst>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-&quot;Q&quot;* #,##0_-;\-&quot;Q&quot;* #,##0_-;_-&quot;Q&quot;* &quot;-&quot;_-;_-@_-"/>
    <numFmt numFmtId="44" formatCode="_-&quot;Q&quot;* #,##0.00_-;\-&quot;Q&quot;* #,##0.00_-;_-&quot;Q&quot;* &quot;-&quot;??_-;_-@_-"/>
    <numFmt numFmtId="164" formatCode="#,##0.00_ ;\-#,##0.00\ "/>
    <numFmt numFmtId="165" formatCode="#,##0_ ;\-#,##0\ "/>
    <numFmt numFmtId="166" formatCode="#,##0.0000000_ ;\-#,##0.0000000\ "/>
    <numFmt numFmtId="167" formatCode="#,##0.0"/>
    <numFmt numFmtId="168" formatCode="_-[$Q-100A]* #,##0.00_-;\-[$Q-100A]* #,##0.00_-;_-[$Q-100A]* &quot;-&quot;??_-;_-@_-"/>
    <numFmt numFmtId="169" formatCode="0.0"/>
    <numFmt numFmtId="170" formatCode="_-[$Q-100A]* #,##0_-;\-[$Q-100A]* #,##0_-;_-[$Q-100A]* &quot;-&quot;_-;_-@_-"/>
  </numFmts>
  <fonts count="25" x14ac:knownFonts="1">
    <font>
      <sz val="11"/>
      <color theme="1"/>
      <name val="Century Gothic"/>
      <family val="2"/>
    </font>
    <font>
      <b/>
      <sz val="11"/>
      <color theme="0"/>
      <name val="Century Gothic"/>
      <family val="2"/>
    </font>
    <font>
      <b/>
      <sz val="11"/>
      <color theme="1"/>
      <name val="Century Gothic"/>
      <family val="2"/>
    </font>
    <font>
      <sz val="11"/>
      <color theme="0"/>
      <name val="Century Gothic"/>
      <family val="2"/>
    </font>
    <font>
      <b/>
      <sz val="11"/>
      <color rgb="FF1C332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0"/>
      <color theme="0"/>
      <name val="Century Gothic"/>
      <family val="2"/>
    </font>
    <font>
      <sz val="8"/>
      <color theme="1"/>
      <name val="Century Gothic"/>
      <family val="2"/>
    </font>
    <font>
      <u/>
      <sz val="11"/>
      <color theme="10"/>
      <name val="Century Gothic"/>
      <family val="2"/>
    </font>
    <font>
      <u/>
      <sz val="11"/>
      <color theme="0"/>
      <name val="Century Gothic"/>
      <family val="2"/>
    </font>
    <font>
      <sz val="7"/>
      <color theme="1"/>
      <name val="Century Gothic"/>
      <family val="2"/>
    </font>
    <font>
      <sz val="8"/>
      <name val="Century Gothic"/>
      <family val="2"/>
    </font>
    <font>
      <b/>
      <sz val="8"/>
      <color theme="1"/>
      <name val="Century Gothic"/>
      <family val="2"/>
    </font>
    <font>
      <u/>
      <sz val="8"/>
      <color theme="10"/>
      <name val="Century Gothic"/>
      <family val="2"/>
    </font>
    <font>
      <b/>
      <sz val="14"/>
      <color rgb="FF1C3321"/>
      <name val="Century Gothic"/>
      <family val="2"/>
    </font>
    <font>
      <sz val="12"/>
      <color theme="1"/>
      <name val="Aptos Narrow"/>
      <family val="2"/>
      <scheme val="minor"/>
    </font>
    <font>
      <sz val="14"/>
      <color theme="1"/>
      <name val="Century Gothic"/>
      <family val="2"/>
    </font>
    <font>
      <b/>
      <sz val="16"/>
      <color theme="0"/>
      <name val="Century Gothic"/>
      <family val="2"/>
    </font>
    <font>
      <b/>
      <sz val="14"/>
      <color theme="0"/>
      <name val="Century Gothic"/>
      <family val="2"/>
    </font>
    <font>
      <b/>
      <sz val="14"/>
      <color theme="1"/>
      <name val="Century Gothic"/>
      <family val="2"/>
    </font>
    <font>
      <sz val="14"/>
      <color theme="0"/>
      <name val="Century Gothic"/>
      <family val="1"/>
    </font>
    <font>
      <b/>
      <sz val="14"/>
      <color theme="0"/>
      <name val="Century Gothic"/>
      <family val="1"/>
    </font>
    <font>
      <sz val="14"/>
      <color theme="0"/>
      <name val="Century Gothic"/>
      <family val="2"/>
    </font>
    <font>
      <sz val="10"/>
      <color theme="1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rgb="FF1C33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58A36"/>
        <bgColor indexed="64"/>
      </patternFill>
    </fill>
    <fill>
      <patternFill patternType="solid">
        <fgColor rgb="FFE1E3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1B33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rgb="FF1C3321"/>
      </bottom>
      <diagonal/>
    </border>
    <border>
      <left/>
      <right/>
      <top style="medium">
        <color rgb="FF1C332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1B3321"/>
      </left>
      <right/>
      <top style="thin">
        <color rgb="FF1B3321"/>
      </top>
      <bottom/>
      <diagonal/>
    </border>
    <border>
      <left/>
      <right/>
      <top style="thin">
        <color rgb="FF1B3321"/>
      </top>
      <bottom/>
      <diagonal/>
    </border>
    <border>
      <left/>
      <right style="thin">
        <color rgb="FF1B3321"/>
      </right>
      <top style="thin">
        <color rgb="FF1B3321"/>
      </top>
      <bottom/>
      <diagonal/>
    </border>
    <border>
      <left style="thin">
        <color rgb="FF1B3321"/>
      </left>
      <right style="thin">
        <color rgb="FF1B3321"/>
      </right>
      <top style="thin">
        <color rgb="FF1B3321"/>
      </top>
      <bottom/>
      <diagonal/>
    </border>
    <border>
      <left style="thin">
        <color rgb="FF1B3321"/>
      </left>
      <right/>
      <top/>
      <bottom style="thin">
        <color rgb="FF1B3321"/>
      </bottom>
      <diagonal/>
    </border>
    <border>
      <left/>
      <right/>
      <top/>
      <bottom style="thin">
        <color rgb="FF1B3321"/>
      </bottom>
      <diagonal/>
    </border>
    <border>
      <left/>
      <right style="thin">
        <color rgb="FF1B3321"/>
      </right>
      <top/>
      <bottom style="thin">
        <color rgb="FF1B3321"/>
      </bottom>
      <diagonal/>
    </border>
    <border>
      <left/>
      <right style="thin">
        <color rgb="FF1B3321"/>
      </right>
      <top/>
      <bottom/>
      <diagonal/>
    </border>
    <border>
      <left style="thin">
        <color rgb="FF1B3321"/>
      </left>
      <right style="thin">
        <color rgb="FF1B332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6" fillId="0" borderId="0"/>
  </cellStyleXfs>
  <cellXfs count="128">
    <xf numFmtId="0" fontId="0" fillId="0" borderId="0" xfId="0"/>
    <xf numFmtId="0" fontId="0" fillId="3" borderId="0" xfId="0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44" fontId="0" fillId="0" borderId="0" xfId="0" applyNumberFormat="1"/>
    <xf numFmtId="164" fontId="0" fillId="0" borderId="0" xfId="0" applyNumberFormat="1"/>
    <xf numFmtId="2" fontId="0" fillId="0" borderId="0" xfId="0" applyNumberFormat="1"/>
    <xf numFmtId="9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/>
    <xf numFmtId="0" fontId="1" fillId="3" borderId="0" xfId="0" applyFont="1" applyFill="1" applyAlignment="1">
      <alignment vertical="center"/>
    </xf>
    <xf numFmtId="0" fontId="0" fillId="0" borderId="0" xfId="0" applyAlignment="1">
      <alignment wrapText="1"/>
    </xf>
    <xf numFmtId="2" fontId="0" fillId="0" borderId="0" xfId="0" applyNumberFormat="1" applyAlignment="1">
      <alignment horizontal="center"/>
    </xf>
    <xf numFmtId="0" fontId="1" fillId="2" borderId="0" xfId="0" applyFont="1" applyFill="1"/>
    <xf numFmtId="0" fontId="3" fillId="2" borderId="0" xfId="0" applyFont="1" applyFill="1"/>
    <xf numFmtId="0" fontId="0" fillId="3" borderId="0" xfId="0" applyFill="1" applyAlignment="1">
      <alignment horizontal="right"/>
    </xf>
    <xf numFmtId="44" fontId="0" fillId="3" borderId="0" xfId="0" applyNumberFormat="1" applyFill="1"/>
    <xf numFmtId="1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2" fillId="0" borderId="4" xfId="0" applyFont="1" applyBorder="1"/>
    <xf numFmtId="0" fontId="1" fillId="4" borderId="0" xfId="0" applyFont="1" applyFill="1" applyAlignment="1">
      <alignment vertical="center" wrapText="1"/>
    </xf>
    <xf numFmtId="42" fontId="0" fillId="0" borderId="0" xfId="0" applyNumberFormat="1"/>
    <xf numFmtId="166" fontId="0" fillId="0" borderId="0" xfId="0" applyNumberFormat="1"/>
    <xf numFmtId="0" fontId="1" fillId="7" borderId="0" xfId="0" applyFont="1" applyFill="1" applyAlignment="1">
      <alignment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8" borderId="0" xfId="0" applyFont="1" applyFill="1" applyAlignment="1">
      <alignment vertical="center" wrapText="1"/>
    </xf>
    <xf numFmtId="0" fontId="1" fillId="9" borderId="0" xfId="0" applyFont="1" applyFill="1" applyAlignment="1">
      <alignment vertical="center" wrapText="1"/>
    </xf>
    <xf numFmtId="0" fontId="17" fillId="0" borderId="0" xfId="2" applyFont="1"/>
    <xf numFmtId="0" fontId="17" fillId="3" borderId="0" xfId="2" applyFont="1" applyFill="1"/>
    <xf numFmtId="0" fontId="19" fillId="3" borderId="0" xfId="2" applyFont="1" applyFill="1" applyAlignment="1">
      <alignment horizontal="center" vertical="center" wrapText="1"/>
    </xf>
    <xf numFmtId="0" fontId="17" fillId="10" borderId="6" xfId="2" applyFont="1" applyFill="1" applyBorder="1"/>
    <xf numFmtId="0" fontId="17" fillId="10" borderId="7" xfId="2" applyFont="1" applyFill="1" applyBorder="1"/>
    <xf numFmtId="0" fontId="20" fillId="3" borderId="0" xfId="2" applyFont="1" applyFill="1" applyAlignment="1">
      <alignment horizontal="left" vertical="center"/>
    </xf>
    <xf numFmtId="0" fontId="20" fillId="0" borderId="0" xfId="2" applyFont="1"/>
    <xf numFmtId="2" fontId="0" fillId="3" borderId="0" xfId="0" applyNumberFormat="1" applyFill="1" applyAlignment="1" applyProtection="1">
      <alignment horizontal="center"/>
      <protection locked="0"/>
    </xf>
    <xf numFmtId="10" fontId="0" fillId="3" borderId="0" xfId="0" applyNumberFormat="1" applyFill="1" applyAlignment="1" applyProtection="1">
      <alignment horizontal="center"/>
      <protection locked="0"/>
    </xf>
    <xf numFmtId="1" fontId="0" fillId="3" borderId="0" xfId="0" applyNumberFormat="1" applyFill="1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10" fontId="0" fillId="0" borderId="0" xfId="0" applyNumberForma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2" fontId="0" fillId="0" borderId="5" xfId="0" applyNumberFormat="1" applyBorder="1" applyAlignment="1" applyProtection="1">
      <alignment horizontal="center"/>
      <protection locked="0"/>
    </xf>
    <xf numFmtId="10" fontId="0" fillId="0" borderId="5" xfId="0" applyNumberFormat="1" applyBorder="1" applyAlignment="1" applyProtection="1">
      <alignment horizontal="center"/>
      <protection locked="0"/>
    </xf>
    <xf numFmtId="1" fontId="0" fillId="0" borderId="5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3" borderId="0" xfId="0" applyFill="1" applyAlignment="1" applyProtection="1">
      <alignment horizontal="right"/>
      <protection locked="0"/>
    </xf>
    <xf numFmtId="42" fontId="1" fillId="4" borderId="0" xfId="0" applyNumberFormat="1" applyFont="1" applyFill="1" applyAlignment="1" applyProtection="1">
      <alignment horizontal="center" vertical="center" wrapText="1"/>
      <protection hidden="1"/>
    </xf>
    <xf numFmtId="0" fontId="4" fillId="6" borderId="2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hidden="1"/>
    </xf>
    <xf numFmtId="167" fontId="0" fillId="0" borderId="0" xfId="0" applyNumberFormat="1" applyAlignment="1" applyProtection="1">
      <alignment horizontal="center" vertical="center"/>
      <protection hidden="1"/>
    </xf>
    <xf numFmtId="44" fontId="9" fillId="0" borderId="0" xfId="1" applyNumberFormat="1" applyProtection="1">
      <protection hidden="1"/>
    </xf>
    <xf numFmtId="44" fontId="0" fillId="0" borderId="0" xfId="0" applyNumberFormat="1" applyProtection="1">
      <protection hidden="1"/>
    </xf>
    <xf numFmtId="0" fontId="1" fillId="4" borderId="0" xfId="0" applyFont="1" applyFill="1" applyProtection="1">
      <protection hidden="1"/>
    </xf>
    <xf numFmtId="167" fontId="1" fillId="4" borderId="0" xfId="0" applyNumberFormat="1" applyFont="1" applyFill="1" applyAlignment="1" applyProtection="1">
      <alignment horizontal="center"/>
      <protection hidden="1"/>
    </xf>
    <xf numFmtId="44" fontId="1" fillId="4" borderId="0" xfId="0" applyNumberFormat="1" applyFont="1" applyFill="1" applyProtection="1">
      <protection hidden="1"/>
    </xf>
    <xf numFmtId="0" fontId="3" fillId="4" borderId="0" xfId="0" applyFont="1" applyFill="1" applyProtection="1">
      <protection hidden="1"/>
    </xf>
    <xf numFmtId="0" fontId="7" fillId="2" borderId="0" xfId="0" applyFont="1" applyFill="1" applyProtection="1">
      <protection hidden="1"/>
    </xf>
    <xf numFmtId="0" fontId="7" fillId="2" borderId="0" xfId="0" applyFont="1" applyFill="1" applyAlignment="1" applyProtection="1">
      <alignment horizontal="center"/>
      <protection hidden="1"/>
    </xf>
    <xf numFmtId="2" fontId="0" fillId="0" borderId="0" xfId="0" applyNumberFormat="1" applyAlignment="1" applyProtection="1">
      <alignment horizontal="center" vertical="center"/>
      <protection hidden="1"/>
    </xf>
    <xf numFmtId="0" fontId="13" fillId="0" borderId="0" xfId="0" applyFont="1" applyProtection="1">
      <protection hidden="1"/>
    </xf>
    <xf numFmtId="2" fontId="8" fillId="0" borderId="0" xfId="0" applyNumberFormat="1" applyFont="1" applyProtection="1">
      <protection hidden="1"/>
    </xf>
    <xf numFmtId="0" fontId="8" fillId="0" borderId="0" xfId="0" applyFont="1" applyProtection="1">
      <protection hidden="1"/>
    </xf>
    <xf numFmtId="2" fontId="8" fillId="0" borderId="0" xfId="0" applyNumberFormat="1" applyFont="1" applyAlignment="1" applyProtection="1">
      <alignment horizontal="center" vertical="center"/>
      <protection hidden="1"/>
    </xf>
    <xf numFmtId="44" fontId="8" fillId="0" borderId="0" xfId="0" applyNumberFormat="1" applyFont="1" applyProtection="1">
      <protection hidden="1"/>
    </xf>
    <xf numFmtId="0" fontId="1" fillId="2" borderId="0" xfId="0" applyFont="1" applyFill="1" applyProtection="1">
      <protection hidden="1"/>
    </xf>
    <xf numFmtId="0" fontId="3" fillId="2" borderId="0" xfId="0" applyFont="1" applyFill="1" applyAlignment="1" applyProtection="1">
      <alignment horizontal="center"/>
      <protection hidden="1"/>
    </xf>
    <xf numFmtId="0" fontId="9" fillId="0" borderId="0" xfId="1" applyAlignment="1" applyProtection="1">
      <alignment horizontal="right"/>
      <protection hidden="1"/>
    </xf>
    <xf numFmtId="0" fontId="6" fillId="0" borderId="0" xfId="1" applyFont="1" applyAlignment="1" applyProtection="1">
      <alignment horizontal="right"/>
      <protection hidden="1"/>
    </xf>
    <xf numFmtId="0" fontId="5" fillId="3" borderId="0" xfId="0" applyFont="1" applyFill="1" applyProtection="1">
      <protection hidden="1"/>
    </xf>
    <xf numFmtId="44" fontId="5" fillId="3" borderId="0" xfId="0" applyNumberFormat="1" applyFont="1" applyFill="1" applyAlignment="1" applyProtection="1">
      <alignment horizontal="center"/>
      <protection hidden="1"/>
    </xf>
    <xf numFmtId="0" fontId="1" fillId="4" borderId="2" xfId="0" applyFont="1" applyFill="1" applyBorder="1" applyProtection="1">
      <protection hidden="1"/>
    </xf>
    <xf numFmtId="0" fontId="10" fillId="4" borderId="2" xfId="1" applyFont="1" applyFill="1" applyBorder="1" applyAlignment="1" applyProtection="1">
      <alignment horizontal="right"/>
      <protection hidden="1"/>
    </xf>
    <xf numFmtId="44" fontId="0" fillId="0" borderId="0" xfId="0" applyNumberFormat="1" applyProtection="1">
      <protection locked="0"/>
    </xf>
    <xf numFmtId="0" fontId="0" fillId="0" borderId="0" xfId="0" applyProtection="1">
      <protection locked="0"/>
    </xf>
    <xf numFmtId="165" fontId="0" fillId="0" borderId="0" xfId="0" applyNumberFormat="1" applyProtection="1">
      <protection locked="0"/>
    </xf>
    <xf numFmtId="44" fontId="0" fillId="5" borderId="0" xfId="0" applyNumberFormat="1" applyFill="1" applyProtection="1">
      <protection locked="0"/>
    </xf>
    <xf numFmtId="0" fontId="0" fillId="5" borderId="0" xfId="0" applyFill="1" applyProtection="1">
      <protection locked="0"/>
    </xf>
    <xf numFmtId="0" fontId="2" fillId="0" borderId="3" xfId="0" applyFont="1" applyBorder="1"/>
    <xf numFmtId="170" fontId="21" fillId="0" borderId="15" xfId="2" applyNumberFormat="1" applyFont="1" applyBorder="1" applyAlignment="1">
      <alignment horizontal="center" vertical="center"/>
    </xf>
    <xf numFmtId="170" fontId="21" fillId="0" borderId="16" xfId="2" applyNumberFormat="1" applyFont="1" applyBorder="1" applyAlignment="1">
      <alignment horizontal="center" vertical="center"/>
    </xf>
    <xf numFmtId="170" fontId="22" fillId="0" borderId="16" xfId="2" applyNumberFormat="1" applyFont="1" applyBorder="1" applyAlignment="1">
      <alignment horizontal="center" vertical="center"/>
    </xf>
    <xf numFmtId="170" fontId="22" fillId="0" borderId="17" xfId="2" applyNumberFormat="1" applyFont="1" applyBorder="1" applyAlignment="1">
      <alignment horizontal="center" vertical="center"/>
    </xf>
    <xf numFmtId="170" fontId="20" fillId="0" borderId="18" xfId="2" applyNumberFormat="1" applyFont="1" applyBorder="1"/>
    <xf numFmtId="0" fontId="23" fillId="3" borderId="0" xfId="2" applyFont="1" applyFill="1"/>
    <xf numFmtId="169" fontId="23" fillId="3" borderId="0" xfId="2" applyNumberFormat="1" applyFont="1" applyFill="1" applyAlignment="1" applyProtection="1">
      <alignment horizontal="center" vertical="center"/>
      <protection locked="0"/>
    </xf>
    <xf numFmtId="169" fontId="23" fillId="3" borderId="0" xfId="2" applyNumberFormat="1" applyFont="1" applyFill="1"/>
    <xf numFmtId="0" fontId="23" fillId="0" borderId="0" xfId="2" applyFont="1"/>
    <xf numFmtId="0" fontId="0" fillId="3" borderId="0" xfId="0" applyFill="1" applyProtection="1">
      <protection locked="0"/>
    </xf>
    <xf numFmtId="0" fontId="0" fillId="3" borderId="5" xfId="0" applyFill="1" applyBorder="1" applyProtection="1">
      <protection locked="0"/>
    </xf>
    <xf numFmtId="44" fontId="3" fillId="2" borderId="0" xfId="0" applyNumberFormat="1" applyFont="1" applyFill="1"/>
    <xf numFmtId="16" fontId="24" fillId="0" borderId="0" xfId="0" applyNumberFormat="1" applyFont="1" applyProtection="1">
      <protection locked="0"/>
    </xf>
    <xf numFmtId="0" fontId="24" fillId="0" borderId="0" xfId="0" applyFont="1" applyProtection="1">
      <protection locked="0"/>
    </xf>
    <xf numFmtId="44" fontId="24" fillId="0" borderId="0" xfId="0" applyNumberFormat="1" applyFont="1" applyProtection="1">
      <protection locked="0"/>
    </xf>
    <xf numFmtId="168" fontId="0" fillId="0" borderId="0" xfId="0" applyNumberFormat="1"/>
    <xf numFmtId="168" fontId="3" fillId="2" borderId="0" xfId="0" applyNumberFormat="1" applyFont="1" applyFill="1"/>
    <xf numFmtId="168" fontId="1" fillId="4" borderId="0" xfId="0" applyNumberFormat="1" applyFont="1" applyFill="1" applyProtection="1">
      <protection hidden="1"/>
    </xf>
    <xf numFmtId="168" fontId="0" fillId="0" borderId="0" xfId="0" applyNumberFormat="1" applyProtection="1">
      <protection hidden="1"/>
    </xf>
    <xf numFmtId="168" fontId="5" fillId="3" borderId="0" xfId="0" applyNumberFormat="1" applyFont="1" applyFill="1" applyAlignment="1" applyProtection="1">
      <alignment horizontal="center"/>
      <protection hidden="1"/>
    </xf>
    <xf numFmtId="168" fontId="1" fillId="2" borderId="0" xfId="0" applyNumberFormat="1" applyFont="1" applyFill="1"/>
    <xf numFmtId="0" fontId="9" fillId="0" borderId="0" xfId="1" applyAlignment="1" applyProtection="1">
      <protection hidden="1"/>
    </xf>
    <xf numFmtId="0" fontId="11" fillId="0" borderId="0" xfId="0" applyFont="1" applyAlignment="1" applyProtection="1">
      <alignment wrapText="1"/>
      <protection hidden="1"/>
    </xf>
    <xf numFmtId="0" fontId="3" fillId="2" borderId="0" xfId="0" applyFont="1" applyFill="1" applyProtection="1">
      <protection hidden="1"/>
    </xf>
    <xf numFmtId="0" fontId="14" fillId="0" borderId="0" xfId="1" applyFont="1" applyAlignment="1" applyProtection="1">
      <protection hidden="1"/>
    </xf>
    <xf numFmtId="42" fontId="0" fillId="3" borderId="0" xfId="0" applyNumberFormat="1" applyFill="1" applyAlignment="1" applyProtection="1">
      <alignment horizontal="center"/>
      <protection locked="0"/>
    </xf>
    <xf numFmtId="42" fontId="0" fillId="3" borderId="5" xfId="0" applyNumberFormat="1" applyFill="1" applyBorder="1" applyAlignment="1" applyProtection="1">
      <alignment horizontal="center"/>
      <protection locked="0"/>
    </xf>
    <xf numFmtId="0" fontId="15" fillId="3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3" xfId="0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horizontal="center"/>
      <protection hidden="1"/>
    </xf>
    <xf numFmtId="0" fontId="15" fillId="3" borderId="5" xfId="0" applyFont="1" applyFill="1" applyBorder="1" applyAlignment="1">
      <alignment horizontal="center" vertical="center" wrapText="1"/>
    </xf>
    <xf numFmtId="0" fontId="19" fillId="10" borderId="0" xfId="2" applyFont="1" applyFill="1" applyAlignment="1">
      <alignment horizontal="left" vertical="center" wrapText="1"/>
    </xf>
    <xf numFmtId="0" fontId="19" fillId="10" borderId="0" xfId="2" applyFont="1" applyFill="1" applyAlignment="1">
      <alignment horizontal="left" vertical="center"/>
    </xf>
    <xf numFmtId="0" fontId="19" fillId="10" borderId="8" xfId="2" applyFont="1" applyFill="1" applyBorder="1" applyAlignment="1">
      <alignment horizontal="center" vertical="center" wrapText="1"/>
    </xf>
    <xf numFmtId="0" fontId="19" fillId="10" borderId="13" xfId="2" applyFont="1" applyFill="1" applyBorder="1" applyAlignment="1">
      <alignment horizontal="center" vertical="center" wrapText="1"/>
    </xf>
    <xf numFmtId="0" fontId="18" fillId="10" borderId="6" xfId="2" applyFont="1" applyFill="1" applyBorder="1" applyAlignment="1">
      <alignment horizontal="center" vertical="center" wrapText="1"/>
    </xf>
    <xf numFmtId="0" fontId="18" fillId="10" borderId="7" xfId="2" applyFont="1" applyFill="1" applyBorder="1" applyAlignment="1">
      <alignment horizontal="center" vertical="center" wrapText="1"/>
    </xf>
    <xf numFmtId="0" fontId="19" fillId="10" borderId="6" xfId="2" applyFont="1" applyFill="1" applyBorder="1" applyAlignment="1">
      <alignment horizontal="left" vertical="center" wrapText="1"/>
    </xf>
    <xf numFmtId="0" fontId="19" fillId="10" borderId="7" xfId="2" applyFont="1" applyFill="1" applyBorder="1" applyAlignment="1">
      <alignment horizontal="left" vertical="center" wrapText="1"/>
    </xf>
    <xf numFmtId="0" fontId="19" fillId="10" borderId="8" xfId="2" applyFont="1" applyFill="1" applyBorder="1" applyAlignment="1">
      <alignment horizontal="left" vertical="center" wrapText="1"/>
    </xf>
    <xf numFmtId="0" fontId="19" fillId="10" borderId="10" xfId="2" applyFont="1" applyFill="1" applyBorder="1" applyAlignment="1">
      <alignment horizontal="left" vertical="center" wrapText="1"/>
    </xf>
    <xf numFmtId="0" fontId="19" fillId="10" borderId="11" xfId="2" applyFont="1" applyFill="1" applyBorder="1" applyAlignment="1">
      <alignment horizontal="left" vertical="center" wrapText="1"/>
    </xf>
    <xf numFmtId="0" fontId="19" fillId="10" borderId="12" xfId="2" applyFont="1" applyFill="1" applyBorder="1" applyAlignment="1">
      <alignment horizontal="left" vertical="center" wrapText="1"/>
    </xf>
    <xf numFmtId="0" fontId="19" fillId="10" borderId="9" xfId="2" applyFont="1" applyFill="1" applyBorder="1" applyAlignment="1">
      <alignment horizontal="center" vertical="center" wrapText="1"/>
    </xf>
    <xf numFmtId="0" fontId="19" fillId="10" borderId="14" xfId="2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4E0C153F-42AD-402B-A98E-2C4994122124}"/>
  </cellStyles>
  <dxfs count="1">
    <dxf>
      <font>
        <color theme="0"/>
      </font>
      <fill>
        <patternFill>
          <bgColor rgb="FF1C3321"/>
        </patternFill>
      </fill>
    </dxf>
  </dxfs>
  <tableStyles count="0" defaultTableStyle="TableStyleMedium2" defaultPivotStyle="PivotStyleLight16"/>
  <colors>
    <mruColors>
      <color rgb="FF1C3321"/>
      <color rgb="FF758A36"/>
      <color rgb="FFE1E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Detalle_Lot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45357</xdr:colOff>
      <xdr:row>0</xdr:row>
      <xdr:rowOff>0</xdr:rowOff>
    </xdr:from>
    <xdr:to>
      <xdr:col>0</xdr:col>
      <xdr:colOff>607786</xdr:colOff>
      <xdr:row>1</xdr:row>
      <xdr:rowOff>46420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B5EA70A-8972-4E0F-B3F8-A0011AB0A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57" y="0"/>
          <a:ext cx="562429" cy="568899"/>
        </a:xfrm>
        <a:prstGeom prst="rect">
          <a:avLst/>
        </a:prstGeom>
      </xdr:spPr>
    </xdr:pic>
    <xdr:clientData/>
  </xdr:twoCellAnchor>
  <xdr:twoCellAnchor editAs="oneCell">
    <xdr:from>
      <xdr:col>9</xdr:col>
      <xdr:colOff>692189</xdr:colOff>
      <xdr:row>0</xdr:row>
      <xdr:rowOff>18585</xdr:rowOff>
    </xdr:from>
    <xdr:to>
      <xdr:col>9</xdr:col>
      <xdr:colOff>1190625</xdr:colOff>
      <xdr:row>0</xdr:row>
      <xdr:rowOff>480501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5C6A3B9-4DBE-43EA-A4E5-0964C4DE8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05925" y="18585"/>
          <a:ext cx="498436" cy="4619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2828766</xdr:colOff>
      <xdr:row>0</xdr:row>
      <xdr:rowOff>26458</xdr:rowOff>
    </xdr:from>
    <xdr:to>
      <xdr:col>4</xdr:col>
      <xdr:colOff>3327202</xdr:colOff>
      <xdr:row>1</xdr:row>
      <xdr:rowOff>3305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1EAC1A2-00BF-42C4-9DFF-EFBE530FE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69877" y="26458"/>
          <a:ext cx="498436" cy="461916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472617</xdr:colOff>
      <xdr:row>1</xdr:row>
      <xdr:rowOff>1172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2F97CD8-359B-478D-BF13-780E72FE8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472616" cy="4837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2820813</xdr:colOff>
      <xdr:row>0</xdr:row>
      <xdr:rowOff>10410</xdr:rowOff>
    </xdr:from>
    <xdr:to>
      <xdr:col>3</xdr:col>
      <xdr:colOff>3319249</xdr:colOff>
      <xdr:row>0</xdr:row>
      <xdr:rowOff>472326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06D160F-BEC4-4A0E-A4B8-B8229FF7F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85895" y="10410"/>
          <a:ext cx="498436" cy="461916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472617</xdr:colOff>
      <xdr:row>1</xdr:row>
      <xdr:rowOff>1172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865BDAE-0A01-4573-B2A0-D4FFCB366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472616" cy="4806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1145452</xdr:colOff>
      <xdr:row>0</xdr:row>
      <xdr:rowOff>0</xdr:rowOff>
    </xdr:from>
    <xdr:to>
      <xdr:col>4</xdr:col>
      <xdr:colOff>1643888</xdr:colOff>
      <xdr:row>0</xdr:row>
      <xdr:rowOff>461916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E53908F-6274-4205-B2E8-0A94E33B0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60" y="0"/>
          <a:ext cx="498436" cy="46191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472616</xdr:colOff>
      <xdr:row>0</xdr:row>
      <xdr:rowOff>480024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64BA478-2F64-4430-8874-E633DC772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2616" cy="4800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85912</xdr:colOff>
      <xdr:row>0</xdr:row>
      <xdr:rowOff>9711</xdr:rowOff>
    </xdr:from>
    <xdr:to>
      <xdr:col>0</xdr:col>
      <xdr:colOff>1117599</xdr:colOff>
      <xdr:row>2</xdr:row>
      <xdr:rowOff>9790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11C382-B026-4A5F-A420-C0D2A422F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12" y="1317811"/>
          <a:ext cx="1031687" cy="88907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60475</xdr:colOff>
      <xdr:row>0</xdr:row>
      <xdr:rowOff>0</xdr:rowOff>
    </xdr:from>
    <xdr:to>
      <xdr:col>3</xdr:col>
      <xdr:colOff>725530</xdr:colOff>
      <xdr:row>1</xdr:row>
      <xdr:rowOff>34636</xdr:rowOff>
    </xdr:to>
    <xdr:sp macro="" textlink="">
      <xdr:nvSpPr>
        <xdr:cNvPr id="2" name="Flecha: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C6B302-5727-C201-BF27-BFC8070DB6B0}"/>
            </a:ext>
          </a:extLst>
        </xdr:cNvPr>
        <xdr:cNvSpPr/>
      </xdr:nvSpPr>
      <xdr:spPr>
        <a:xfrm>
          <a:off x="7589761" y="0"/>
          <a:ext cx="665055" cy="508366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scar.ooo\OneDrive%20-%20Asociaci&#243;n%20Nacional%20del%20Caf&#233;\Documents\Descargas%20ODK\Pdf%20Inputs\1)%20TT%20Sec..xlsm" TargetMode="External"/><Relationship Id="rId1" Type="http://schemas.openxmlformats.org/officeDocument/2006/relationships/externalLinkPath" Target="file:///C:\Users\oscar.ooo\OneDrive%20-%20Asociaci&#243;n%20Nacional%20del%20Caf&#233;\Documents\Descargas%20ODK\Pdf%20Inputs\1)%20TT%20Sec.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os"/>
      <sheetName val="Presupuesto"/>
      <sheetName val="Cronograma"/>
      <sheetName val="3 Años"/>
      <sheetName val="4 años"/>
      <sheetName val="5 Años"/>
      <sheetName val="6 años"/>
      <sheetName val="Hoja3"/>
      <sheetName val="Inventario de plantas"/>
      <sheetName val="Propuesta"/>
      <sheetName val="Hoja2"/>
      <sheetName val="Cronograma (2)"/>
    </sheetNames>
    <sheetDataSet>
      <sheetData sheetId="0">
        <row r="2">
          <cell r="I2" t="str">
            <v>Las Flores - Anacafé</v>
          </cell>
          <cell r="AI2" t="str">
            <v/>
          </cell>
        </row>
        <row r="6">
          <cell r="B6" t="str">
            <v/>
          </cell>
        </row>
        <row r="10">
          <cell r="A10" t="str">
            <v>Anacafé | Las Flores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5">
          <cell r="A5" t="str">
            <v xml:space="preserve">        En el marco del programa de rentabilidad sustentable que ejecuta la Asociación Nacional del Café a través del departamento de transferencia de tecnología, se realizó una visita de campo y la recopilación de datos para el diagnóstico financiero que tiene como objetivo ofrecer una mejor perspectiva sobre la rentabilidad de la empresa</v>
          </cell>
        </row>
        <row r="6">
          <cell r="A6" t="str">
            <v>analizando los ingresos y egresos con base en los indicadores de rentabilidad uso eficiente de los recursos, productividad y calidad y de esta forma identificar las oportunidades de mejora de la empresa.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8033C-D5EF-4204-902C-ABB8BBDF1B9D}">
  <sheetPr codeName="Hoja1"/>
  <dimension ref="A1:J119"/>
  <sheetViews>
    <sheetView showGridLines="0" showRowColHeaders="0" tabSelected="1" zoomScale="69" zoomScaleNormal="70" workbookViewId="0">
      <pane ySplit="4" topLeftCell="A5" activePane="bottomLeft" state="frozen"/>
      <selection pane="bottomLeft" activeCell="M3" sqref="M3"/>
    </sheetView>
  </sheetViews>
  <sheetFormatPr baseColWidth="10" defaultRowHeight="13.5" x14ac:dyDescent="0.25"/>
  <cols>
    <col min="1" max="1" width="21.1640625" customWidth="1"/>
    <col min="2" max="2" width="17.5" customWidth="1"/>
    <col min="3" max="3" width="14.4140625" customWidth="1"/>
    <col min="4" max="5" width="14.75" customWidth="1"/>
    <col min="6" max="6" width="17.25" customWidth="1"/>
    <col min="7" max="7" width="18.25" customWidth="1"/>
    <col min="8" max="9" width="16.58203125" style="1" customWidth="1"/>
    <col min="10" max="10" width="18.5" style="1" customWidth="1"/>
    <col min="11" max="11" width="14.25" customWidth="1"/>
  </cols>
  <sheetData>
    <row r="1" spans="1:10" ht="40.5" customHeight="1" thickBot="1" x14ac:dyDescent="0.3">
      <c r="A1" s="106" t="s">
        <v>250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29" customHeight="1" x14ac:dyDescent="0.3">
      <c r="A2" s="21" t="s">
        <v>23</v>
      </c>
      <c r="B2" s="111" t="s">
        <v>24</v>
      </c>
      <c r="C2" s="111"/>
      <c r="D2" s="111"/>
      <c r="E2" s="20" t="s">
        <v>0</v>
      </c>
      <c r="F2" s="46" t="s">
        <v>2</v>
      </c>
      <c r="G2" s="78"/>
      <c r="H2" s="78" t="s">
        <v>251</v>
      </c>
      <c r="I2" s="15"/>
      <c r="J2" s="46" t="s">
        <v>254</v>
      </c>
    </row>
    <row r="3" spans="1:10" s="8" customFormat="1" ht="47.5" customHeight="1" x14ac:dyDescent="0.25">
      <c r="A3" s="107" t="s">
        <v>1</v>
      </c>
      <c r="B3" s="109" t="str">
        <f>CONCATENATE("Área en "," 
",IF(UM="Manzana","Manzanas",IF(UM="Hectárea","Hectáreas","Cuerdas")))</f>
        <v>Área en  
Hectáreas</v>
      </c>
      <c r="C3" s="109" t="s">
        <v>137</v>
      </c>
      <c r="D3" s="109" t="s">
        <v>138</v>
      </c>
      <c r="E3" s="109" t="s">
        <v>139</v>
      </c>
      <c r="F3" s="109" t="s">
        <v>79</v>
      </c>
      <c r="G3" s="109" t="s">
        <v>249</v>
      </c>
      <c r="H3" s="26" t="s">
        <v>18</v>
      </c>
      <c r="I3" s="26" t="s">
        <v>168</v>
      </c>
      <c r="J3" s="26" t="s">
        <v>286</v>
      </c>
    </row>
    <row r="4" spans="1:10" s="8" customFormat="1" ht="32.5" customHeight="1" x14ac:dyDescent="0.25">
      <c r="A4" s="108"/>
      <c r="B4" s="110"/>
      <c r="C4" s="110"/>
      <c r="D4" s="110"/>
      <c r="E4" s="110"/>
      <c r="F4" s="110"/>
      <c r="G4" s="110"/>
      <c r="H4" s="47">
        <f>SUM(H5:H79)</f>
        <v>0</v>
      </c>
      <c r="I4" s="47">
        <f>SUM(I5:I79)</f>
        <v>0</v>
      </c>
      <c r="J4" s="47">
        <f>SUM(J5:J79)</f>
        <v>0</v>
      </c>
    </row>
    <row r="5" spans="1:10" ht="21.5" customHeight="1" x14ac:dyDescent="0.25">
      <c r="A5" s="88" t="s">
        <v>90</v>
      </c>
      <c r="B5" s="36"/>
      <c r="C5" s="36"/>
      <c r="D5" s="36"/>
      <c r="E5" s="37"/>
      <c r="F5" s="36"/>
      <c r="G5" s="38"/>
      <c r="H5" s="104">
        <f>IF(G5="Reposo",0,IF(G5&gt;0,_xlfn.XLOOKUP(A5,Lotes,Ingresos),0))</f>
        <v>0</v>
      </c>
      <c r="I5" s="104">
        <f>IFERROR(IF(G5="Reposo",0,IF(G5&gt;0,_xlfn.XLOOKUP(A5,Lotes,Precosecha)+_xlfn.XLOOKUP(A5,Lotes,Cosecha)+_xlfn.XLOOKUP(A5,Lotes,Poscosecha)+_xlfn.XLOOKUP(A5,Lotes,Total_Administrativo),0)),0)</f>
        <v>0</v>
      </c>
      <c r="J5" s="104">
        <f>H5-I5</f>
        <v>0</v>
      </c>
    </row>
    <row r="6" spans="1:10" ht="21.5" customHeight="1" x14ac:dyDescent="0.25">
      <c r="A6" s="88" t="s">
        <v>91</v>
      </c>
      <c r="B6" s="36"/>
      <c r="C6" s="36"/>
      <c r="D6" s="36"/>
      <c r="E6" s="37"/>
      <c r="F6" s="36"/>
      <c r="G6" s="38"/>
      <c r="H6" s="104">
        <f t="shared" ref="H6:H69" si="0">IF(G6="Reposo",0,_xlfn.XLOOKUP(A6,Lotes,Ingresos))</f>
        <v>0</v>
      </c>
      <c r="I6" s="104">
        <f>IFERROR(IF(G6="Reposo",0,IF(G6&gt;0,_xlfn.XLOOKUP(A6,Lotes,Precosecha)+_xlfn.XLOOKUP(A6,Lotes,Cosecha)+_xlfn.XLOOKUP(A6,Lotes,Poscosecha)+_xlfn.XLOOKUP(A6,Lotes,Total_Administrativo),0)),0)</f>
        <v>0</v>
      </c>
      <c r="J6" s="104">
        <f t="shared" ref="J6:J29" si="1">H6-I6</f>
        <v>0</v>
      </c>
    </row>
    <row r="7" spans="1:10" ht="21.5" customHeight="1" x14ac:dyDescent="0.25">
      <c r="A7" s="88" t="s">
        <v>92</v>
      </c>
      <c r="B7" s="36"/>
      <c r="C7" s="36"/>
      <c r="D7" s="36"/>
      <c r="E7" s="37"/>
      <c r="F7" s="36"/>
      <c r="G7" s="38"/>
      <c r="H7" s="104">
        <f t="shared" si="0"/>
        <v>0</v>
      </c>
      <c r="I7" s="104">
        <f>IFERROR(IF(G7="Reposo",0,IF(G7&gt;0,_xlfn.XLOOKUP(A7,Lotes,Precosecha)+_xlfn.XLOOKUP(A7,Lotes,Cosecha)+_xlfn.XLOOKUP(A7,Lotes,Poscosecha)+_xlfn.XLOOKUP(A7,Lotes,Total_Administrativo),0)),0)</f>
        <v>0</v>
      </c>
      <c r="J7" s="104">
        <f t="shared" si="1"/>
        <v>0</v>
      </c>
    </row>
    <row r="8" spans="1:10" ht="21.5" customHeight="1" x14ac:dyDescent="0.25">
      <c r="A8" s="88" t="s">
        <v>93</v>
      </c>
      <c r="B8" s="36"/>
      <c r="C8" s="36"/>
      <c r="D8" s="36"/>
      <c r="E8" s="37"/>
      <c r="F8" s="36"/>
      <c r="G8" s="38"/>
      <c r="H8" s="104">
        <f t="shared" si="0"/>
        <v>0</v>
      </c>
      <c r="I8" s="104">
        <f>IFERROR(IF(G8="Reposo",0,IF(G8&gt;0,_xlfn.XLOOKUP(A8,Lotes,Precosecha)+_xlfn.XLOOKUP(A8,Lotes,Cosecha)+_xlfn.XLOOKUP(A8,Lotes,Poscosecha)+_xlfn.XLOOKUP(A8,Lotes,Total_Administrativo),0)),0)</f>
        <v>0</v>
      </c>
      <c r="J8" s="104">
        <f t="shared" si="1"/>
        <v>0</v>
      </c>
    </row>
    <row r="9" spans="1:10" ht="21.5" customHeight="1" x14ac:dyDescent="0.25">
      <c r="A9" s="88" t="s">
        <v>94</v>
      </c>
      <c r="B9" s="36"/>
      <c r="C9" s="36"/>
      <c r="D9" s="36"/>
      <c r="E9" s="37"/>
      <c r="F9" s="36"/>
      <c r="G9" s="38"/>
      <c r="H9" s="104">
        <f t="shared" si="0"/>
        <v>0</v>
      </c>
      <c r="I9" s="104">
        <f>IFERROR(IF(G9="Reposo",0,IF(G9&gt;0,_xlfn.XLOOKUP(A9,Lotes,Precosecha)+_xlfn.XLOOKUP(A9,Lotes,Cosecha)+_xlfn.XLOOKUP(A9,Lotes,Poscosecha)+_xlfn.XLOOKUP(A9,Lotes,Total_Administrativo),0)),0)</f>
        <v>0</v>
      </c>
      <c r="J9" s="104">
        <f t="shared" si="1"/>
        <v>0</v>
      </c>
    </row>
    <row r="10" spans="1:10" ht="21.5" customHeight="1" x14ac:dyDescent="0.25">
      <c r="A10" s="88" t="s">
        <v>95</v>
      </c>
      <c r="B10" s="36"/>
      <c r="C10" s="36"/>
      <c r="D10" s="36"/>
      <c r="E10" s="37"/>
      <c r="F10" s="36"/>
      <c r="G10" s="38"/>
      <c r="H10" s="104">
        <f t="shared" si="0"/>
        <v>0</v>
      </c>
      <c r="I10" s="104">
        <f>IFERROR(IF(G10="Reposo",0,IF(G10&gt;0,_xlfn.XLOOKUP(A10,Lotes,Precosecha)+_xlfn.XLOOKUP(A10,Lotes,Cosecha)+_xlfn.XLOOKUP(A10,Lotes,Poscosecha)+_xlfn.XLOOKUP(A10,Lotes,Total_Administrativo),0)),0)</f>
        <v>0</v>
      </c>
      <c r="J10" s="104">
        <f t="shared" si="1"/>
        <v>0</v>
      </c>
    </row>
    <row r="11" spans="1:10" ht="21.5" customHeight="1" x14ac:dyDescent="0.25">
      <c r="A11" s="88" t="s">
        <v>96</v>
      </c>
      <c r="B11" s="36"/>
      <c r="C11" s="36"/>
      <c r="D11" s="36"/>
      <c r="E11" s="37"/>
      <c r="F11" s="36"/>
      <c r="G11" s="38"/>
      <c r="H11" s="104">
        <f t="shared" si="0"/>
        <v>0</v>
      </c>
      <c r="I11" s="104">
        <f>IFERROR(IF(G11="Reposo",0,IF(G11&gt;0,_xlfn.XLOOKUP(A11,Lotes,Precosecha)+_xlfn.XLOOKUP(A11,Lotes,Cosecha)+_xlfn.XLOOKUP(A11,Lotes,Poscosecha)+_xlfn.XLOOKUP(A11,Lotes,Total_Administrativo),0)),0)</f>
        <v>0</v>
      </c>
      <c r="J11" s="104">
        <f t="shared" si="1"/>
        <v>0</v>
      </c>
    </row>
    <row r="12" spans="1:10" ht="21.5" customHeight="1" x14ac:dyDescent="0.25">
      <c r="A12" s="88" t="s">
        <v>97</v>
      </c>
      <c r="B12" s="36"/>
      <c r="C12" s="36"/>
      <c r="D12" s="36"/>
      <c r="E12" s="37"/>
      <c r="F12" s="36"/>
      <c r="G12" s="38"/>
      <c r="H12" s="104">
        <f t="shared" si="0"/>
        <v>0</v>
      </c>
      <c r="I12" s="104">
        <f>IFERROR(IF(G12="Reposo",0,IF(G12&gt;0,_xlfn.XLOOKUP(A12,Lotes,Precosecha)+_xlfn.XLOOKUP(A12,Lotes,Cosecha)+_xlfn.XLOOKUP(A12,Lotes,Poscosecha)+_xlfn.XLOOKUP(A12,Lotes,Total_Administrativo),0)),0)</f>
        <v>0</v>
      </c>
      <c r="J12" s="104">
        <f t="shared" si="1"/>
        <v>0</v>
      </c>
    </row>
    <row r="13" spans="1:10" ht="21.5" customHeight="1" x14ac:dyDescent="0.25">
      <c r="A13" s="88" t="s">
        <v>98</v>
      </c>
      <c r="B13" s="36"/>
      <c r="C13" s="36"/>
      <c r="D13" s="36"/>
      <c r="E13" s="37"/>
      <c r="F13" s="36"/>
      <c r="G13" s="38"/>
      <c r="H13" s="104">
        <f t="shared" si="0"/>
        <v>0</v>
      </c>
      <c r="I13" s="104">
        <f>IFERROR(IF(G13="Reposo",0,IF(G13&gt;0,_xlfn.XLOOKUP(A13,Lotes,Precosecha)+_xlfn.XLOOKUP(A13,Lotes,Cosecha)+_xlfn.XLOOKUP(A13,Lotes,Poscosecha)+_xlfn.XLOOKUP(A13,Lotes,Total_Administrativo),0)),0)</f>
        <v>0</v>
      </c>
      <c r="J13" s="104">
        <f t="shared" si="1"/>
        <v>0</v>
      </c>
    </row>
    <row r="14" spans="1:10" ht="21.5" customHeight="1" x14ac:dyDescent="0.25">
      <c r="A14" s="88" t="s">
        <v>99</v>
      </c>
      <c r="B14" s="36"/>
      <c r="C14" s="36"/>
      <c r="D14" s="36"/>
      <c r="E14" s="37"/>
      <c r="F14" s="36"/>
      <c r="G14" s="38"/>
      <c r="H14" s="104">
        <f t="shared" si="0"/>
        <v>0</v>
      </c>
      <c r="I14" s="104">
        <f>IFERROR(IF(G14="Reposo",0,IF(G14&gt;0,_xlfn.XLOOKUP(A14,Lotes,Precosecha)+_xlfn.XLOOKUP(A14,Lotes,Cosecha)+_xlfn.XLOOKUP(A14,Lotes,Poscosecha)+_xlfn.XLOOKUP(A14,Lotes,Total_Administrativo),0)),0)</f>
        <v>0</v>
      </c>
      <c r="J14" s="104">
        <f t="shared" si="1"/>
        <v>0</v>
      </c>
    </row>
    <row r="15" spans="1:10" ht="23.5" customHeight="1" x14ac:dyDescent="0.25">
      <c r="A15" s="88" t="s">
        <v>100</v>
      </c>
      <c r="B15" s="39"/>
      <c r="C15" s="39"/>
      <c r="D15" s="39"/>
      <c r="E15" s="40"/>
      <c r="F15" s="39"/>
      <c r="G15" s="41"/>
      <c r="H15" s="104">
        <f t="shared" si="0"/>
        <v>0</v>
      </c>
      <c r="I15" s="104">
        <f>IFERROR(IF(G15="Reposo",0,IF(G15&gt;0,_xlfn.XLOOKUP(A15,Lotes,Precosecha)+_xlfn.XLOOKUP(A15,Lotes,Cosecha)+_xlfn.XLOOKUP(A15,Lotes,Poscosecha)+_xlfn.XLOOKUP(A15,Lotes,Total_Administrativo),0)),0)</f>
        <v>0</v>
      </c>
      <c r="J15" s="104">
        <f t="shared" si="1"/>
        <v>0</v>
      </c>
    </row>
    <row r="16" spans="1:10" ht="23.5" customHeight="1" x14ac:dyDescent="0.25">
      <c r="A16" s="88" t="s">
        <v>101</v>
      </c>
      <c r="B16" s="39"/>
      <c r="C16" s="39"/>
      <c r="D16" s="39"/>
      <c r="E16" s="40"/>
      <c r="F16" s="39"/>
      <c r="G16" s="41"/>
      <c r="H16" s="104">
        <f t="shared" si="0"/>
        <v>0</v>
      </c>
      <c r="I16" s="104">
        <f>IFERROR(IF(G16="Reposo",0,IF(G16&gt;0,_xlfn.XLOOKUP(A16,Lotes,Precosecha)+_xlfn.XLOOKUP(A16,Lotes,Cosecha)+_xlfn.XLOOKUP(A16,Lotes,Poscosecha)+_xlfn.XLOOKUP(A16,Lotes,Total_Administrativo),0)),0)</f>
        <v>0</v>
      </c>
      <c r="J16" s="104">
        <f t="shared" si="1"/>
        <v>0</v>
      </c>
    </row>
    <row r="17" spans="1:10" ht="23.5" customHeight="1" x14ac:dyDescent="0.25">
      <c r="A17" s="88" t="s">
        <v>102</v>
      </c>
      <c r="B17" s="39"/>
      <c r="C17" s="39"/>
      <c r="D17" s="39"/>
      <c r="E17" s="40"/>
      <c r="F17" s="39"/>
      <c r="G17" s="41"/>
      <c r="H17" s="104">
        <f t="shared" si="0"/>
        <v>0</v>
      </c>
      <c r="I17" s="104">
        <f>IFERROR(IF(G17="Reposo",0,IF(G17&gt;0,_xlfn.XLOOKUP(A17,Lotes,Precosecha)+_xlfn.XLOOKUP(A17,Lotes,Cosecha)+_xlfn.XLOOKUP(A17,Lotes,Poscosecha)+_xlfn.XLOOKUP(A17,Lotes,Total_Administrativo),0)),0)</f>
        <v>0</v>
      </c>
      <c r="J17" s="104">
        <f t="shared" si="1"/>
        <v>0</v>
      </c>
    </row>
    <row r="18" spans="1:10" ht="23.5" customHeight="1" x14ac:dyDescent="0.25">
      <c r="A18" s="88" t="s">
        <v>103</v>
      </c>
      <c r="B18" s="39"/>
      <c r="C18" s="39"/>
      <c r="D18" s="39"/>
      <c r="E18" s="40"/>
      <c r="F18" s="39"/>
      <c r="G18" s="41"/>
      <c r="H18" s="104">
        <f t="shared" si="0"/>
        <v>0</v>
      </c>
      <c r="I18" s="104">
        <f>IFERROR(IF(G18="Reposo",0,IF(G18&gt;0,_xlfn.XLOOKUP(A18,Lotes,Precosecha)+_xlfn.XLOOKUP(A18,Lotes,Cosecha)+_xlfn.XLOOKUP(A18,Lotes,Poscosecha)+_xlfn.XLOOKUP(A18,Lotes,Total_Administrativo),0)),0)</f>
        <v>0</v>
      </c>
      <c r="J18" s="104">
        <f t="shared" si="1"/>
        <v>0</v>
      </c>
    </row>
    <row r="19" spans="1:10" ht="23.5" customHeight="1" x14ac:dyDescent="0.25">
      <c r="A19" s="88" t="s">
        <v>104</v>
      </c>
      <c r="B19" s="39"/>
      <c r="C19" s="39"/>
      <c r="D19" s="39"/>
      <c r="E19" s="40"/>
      <c r="F19" s="39"/>
      <c r="G19" s="41"/>
      <c r="H19" s="104">
        <f t="shared" si="0"/>
        <v>0</v>
      </c>
      <c r="I19" s="104">
        <f>IFERROR(IF(G19="Reposo",0,IF(G19&gt;0,_xlfn.XLOOKUP(A19,Lotes,Precosecha)+_xlfn.XLOOKUP(A19,Lotes,Cosecha)+_xlfn.XLOOKUP(A19,Lotes,Poscosecha)+_xlfn.XLOOKUP(A19,Lotes,Total_Administrativo),0)),0)</f>
        <v>0</v>
      </c>
      <c r="J19" s="104">
        <f t="shared" si="1"/>
        <v>0</v>
      </c>
    </row>
    <row r="20" spans="1:10" ht="23.5" customHeight="1" x14ac:dyDescent="0.25">
      <c r="A20" s="88" t="s">
        <v>105</v>
      </c>
      <c r="B20" s="39"/>
      <c r="C20" s="39"/>
      <c r="D20" s="39"/>
      <c r="E20" s="40"/>
      <c r="F20" s="39"/>
      <c r="G20" s="41"/>
      <c r="H20" s="104">
        <f t="shared" si="0"/>
        <v>0</v>
      </c>
      <c r="I20" s="104">
        <f>IFERROR(IF(G20="Reposo",0,IF(G20&gt;0,_xlfn.XLOOKUP(A20,Lotes,Precosecha)+_xlfn.XLOOKUP(A20,Lotes,Cosecha)+_xlfn.XLOOKUP(A20,Lotes,Poscosecha)+_xlfn.XLOOKUP(A20,Lotes,Total_Administrativo),0)),0)</f>
        <v>0</v>
      </c>
      <c r="J20" s="104">
        <f t="shared" si="1"/>
        <v>0</v>
      </c>
    </row>
    <row r="21" spans="1:10" ht="23.5" customHeight="1" x14ac:dyDescent="0.25">
      <c r="A21" s="88" t="s">
        <v>106</v>
      </c>
      <c r="B21" s="39"/>
      <c r="C21" s="39"/>
      <c r="D21" s="39"/>
      <c r="E21" s="40"/>
      <c r="F21" s="39"/>
      <c r="G21" s="41"/>
      <c r="H21" s="104">
        <f t="shared" si="0"/>
        <v>0</v>
      </c>
      <c r="I21" s="104">
        <f>IFERROR(IF(G21="Reposo",0,IF(G21&gt;0,_xlfn.XLOOKUP(A21,Lotes,Precosecha)+_xlfn.XLOOKUP(A21,Lotes,Cosecha)+_xlfn.XLOOKUP(A21,Lotes,Poscosecha)+_xlfn.XLOOKUP(A21,Lotes,Total_Administrativo),0)),0)</f>
        <v>0</v>
      </c>
      <c r="J21" s="104">
        <f t="shared" si="1"/>
        <v>0</v>
      </c>
    </row>
    <row r="22" spans="1:10" ht="23.5" customHeight="1" x14ac:dyDescent="0.25">
      <c r="A22" s="88" t="s">
        <v>107</v>
      </c>
      <c r="B22" s="39"/>
      <c r="C22" s="39"/>
      <c r="D22" s="39"/>
      <c r="E22" s="40"/>
      <c r="F22" s="39"/>
      <c r="G22" s="41"/>
      <c r="H22" s="104">
        <f t="shared" si="0"/>
        <v>0</v>
      </c>
      <c r="I22" s="104">
        <f>IFERROR(IF(G22="Reposo",0,IF(G22&gt;0,_xlfn.XLOOKUP(A22,Lotes,Precosecha)+_xlfn.XLOOKUP(A22,Lotes,Cosecha)+_xlfn.XLOOKUP(A22,Lotes,Poscosecha)+_xlfn.XLOOKUP(A22,Lotes,Total_Administrativo),0)),0)</f>
        <v>0</v>
      </c>
      <c r="J22" s="104">
        <f t="shared" si="1"/>
        <v>0</v>
      </c>
    </row>
    <row r="23" spans="1:10" ht="23.5" customHeight="1" x14ac:dyDescent="0.25">
      <c r="A23" s="88" t="s">
        <v>108</v>
      </c>
      <c r="B23" s="39"/>
      <c r="C23" s="39"/>
      <c r="D23" s="39"/>
      <c r="E23" s="40"/>
      <c r="F23" s="39"/>
      <c r="G23" s="41"/>
      <c r="H23" s="104">
        <f t="shared" si="0"/>
        <v>0</v>
      </c>
      <c r="I23" s="104">
        <f>IFERROR(IF(G23="Reposo",0,IF(G23&gt;0,_xlfn.XLOOKUP(A23,Lotes,Precosecha)+_xlfn.XLOOKUP(A23,Lotes,Cosecha)+_xlfn.XLOOKUP(A23,Lotes,Poscosecha)+_xlfn.XLOOKUP(A23,Lotes,Total_Administrativo),0)),0)</f>
        <v>0</v>
      </c>
      <c r="J23" s="104">
        <f t="shared" si="1"/>
        <v>0</v>
      </c>
    </row>
    <row r="24" spans="1:10" ht="23.5" customHeight="1" x14ac:dyDescent="0.25">
      <c r="A24" s="88" t="s">
        <v>109</v>
      </c>
      <c r="B24" s="39"/>
      <c r="C24" s="39"/>
      <c r="D24" s="39"/>
      <c r="E24" s="40"/>
      <c r="F24" s="39"/>
      <c r="G24" s="41"/>
      <c r="H24" s="104">
        <f t="shared" si="0"/>
        <v>0</v>
      </c>
      <c r="I24" s="104">
        <f>IFERROR(IF(G24="Reposo",0,IF(G24&gt;0,_xlfn.XLOOKUP(A24,Lotes,Precosecha)+_xlfn.XLOOKUP(A24,Lotes,Cosecha)+_xlfn.XLOOKUP(A24,Lotes,Poscosecha)+_xlfn.XLOOKUP(A24,Lotes,Total_Administrativo),0)),0)</f>
        <v>0</v>
      </c>
      <c r="J24" s="104">
        <f t="shared" si="1"/>
        <v>0</v>
      </c>
    </row>
    <row r="25" spans="1:10" ht="23.5" customHeight="1" x14ac:dyDescent="0.25">
      <c r="A25" s="88" t="s">
        <v>110</v>
      </c>
      <c r="B25" s="39"/>
      <c r="C25" s="39"/>
      <c r="D25" s="39"/>
      <c r="E25" s="40"/>
      <c r="F25" s="39"/>
      <c r="G25" s="41"/>
      <c r="H25" s="104">
        <f t="shared" si="0"/>
        <v>0</v>
      </c>
      <c r="I25" s="104">
        <f>IFERROR(IF(G25="Reposo",0,IF(G25&gt;0,_xlfn.XLOOKUP(A25,Lotes,Precosecha)+_xlfn.XLOOKUP(A25,Lotes,Cosecha)+_xlfn.XLOOKUP(A25,Lotes,Poscosecha)+_xlfn.XLOOKUP(A25,Lotes,Total_Administrativo),0)),0)</f>
        <v>0</v>
      </c>
      <c r="J25" s="104">
        <f t="shared" si="1"/>
        <v>0</v>
      </c>
    </row>
    <row r="26" spans="1:10" ht="23.5" customHeight="1" x14ac:dyDescent="0.25">
      <c r="A26" s="88" t="s">
        <v>111</v>
      </c>
      <c r="B26" s="39"/>
      <c r="C26" s="39"/>
      <c r="D26" s="39"/>
      <c r="E26" s="40"/>
      <c r="F26" s="39"/>
      <c r="G26" s="41"/>
      <c r="H26" s="104">
        <f t="shared" si="0"/>
        <v>0</v>
      </c>
      <c r="I26" s="104">
        <f>IFERROR(IF(G26="Reposo",0,IF(G26&gt;0,_xlfn.XLOOKUP(A26,Lotes,Precosecha)+_xlfn.XLOOKUP(A26,Lotes,Cosecha)+_xlfn.XLOOKUP(A26,Lotes,Poscosecha)+_xlfn.XLOOKUP(A26,Lotes,Total_Administrativo),0)),0)</f>
        <v>0</v>
      </c>
      <c r="J26" s="104">
        <f t="shared" si="1"/>
        <v>0</v>
      </c>
    </row>
    <row r="27" spans="1:10" ht="23.5" customHeight="1" x14ac:dyDescent="0.25">
      <c r="A27" s="88" t="s">
        <v>112</v>
      </c>
      <c r="B27" s="39"/>
      <c r="C27" s="39"/>
      <c r="D27" s="39"/>
      <c r="E27" s="40"/>
      <c r="F27" s="39"/>
      <c r="G27" s="41"/>
      <c r="H27" s="104">
        <f t="shared" si="0"/>
        <v>0</v>
      </c>
      <c r="I27" s="104">
        <f>IFERROR(IF(G27="Reposo",0,IF(G27&gt;0,_xlfn.XLOOKUP(A27,Lotes,Precosecha)+_xlfn.XLOOKUP(A27,Lotes,Cosecha)+_xlfn.XLOOKUP(A27,Lotes,Poscosecha)+_xlfn.XLOOKUP(A27,Lotes,Total_Administrativo),0)),0)</f>
        <v>0</v>
      </c>
      <c r="J27" s="104">
        <f t="shared" si="1"/>
        <v>0</v>
      </c>
    </row>
    <row r="28" spans="1:10" ht="23.5" customHeight="1" x14ac:dyDescent="0.25">
      <c r="A28" s="88" t="s">
        <v>113</v>
      </c>
      <c r="B28" s="39"/>
      <c r="C28" s="39"/>
      <c r="D28" s="39"/>
      <c r="E28" s="40"/>
      <c r="F28" s="39"/>
      <c r="G28" s="41"/>
      <c r="H28" s="104">
        <f t="shared" si="0"/>
        <v>0</v>
      </c>
      <c r="I28" s="104">
        <f>IFERROR(IF(G28="Reposo",0,IF(G28&gt;0,_xlfn.XLOOKUP(A28,Lotes,Precosecha)+_xlfn.XLOOKUP(A28,Lotes,Cosecha)+_xlfn.XLOOKUP(A28,Lotes,Poscosecha)+_xlfn.XLOOKUP(A28,Lotes,Total_Administrativo),0)),0)</f>
        <v>0</v>
      </c>
      <c r="J28" s="104">
        <f t="shared" si="1"/>
        <v>0</v>
      </c>
    </row>
    <row r="29" spans="1:10" ht="23.5" customHeight="1" x14ac:dyDescent="0.25">
      <c r="A29" s="88" t="s">
        <v>114</v>
      </c>
      <c r="B29" s="39"/>
      <c r="C29" s="39"/>
      <c r="D29" s="39"/>
      <c r="E29" s="40"/>
      <c r="F29" s="39"/>
      <c r="G29" s="41"/>
      <c r="H29" s="104">
        <f t="shared" si="0"/>
        <v>0</v>
      </c>
      <c r="I29" s="104">
        <f>IFERROR(IF(G29="Reposo",0,IF(G29&gt;0,_xlfn.XLOOKUP(A29,Lotes,Precosecha)+_xlfn.XLOOKUP(A29,Lotes,Cosecha)+_xlfn.XLOOKUP(A29,Lotes,Poscosecha)+_xlfn.XLOOKUP(A29,Lotes,Total_Administrativo),0)),0)</f>
        <v>0</v>
      </c>
      <c r="J29" s="104">
        <f t="shared" si="1"/>
        <v>0</v>
      </c>
    </row>
    <row r="30" spans="1:10" ht="23.5" customHeight="1" x14ac:dyDescent="0.25">
      <c r="A30" s="88" t="s">
        <v>199</v>
      </c>
      <c r="B30" s="39"/>
      <c r="C30" s="39"/>
      <c r="D30" s="39"/>
      <c r="E30" s="40"/>
      <c r="F30" s="39"/>
      <c r="G30" s="41"/>
      <c r="H30" s="104">
        <f t="shared" si="0"/>
        <v>0</v>
      </c>
      <c r="I30" s="104">
        <f>IFERROR(IF(G30="Reposo",0,IF(G30&gt;0,_xlfn.XLOOKUP(A30,Lotes,Precosecha)+_xlfn.XLOOKUP(A30,Lotes,Cosecha)+_xlfn.XLOOKUP(A30,Lotes,Poscosecha)+_xlfn.XLOOKUP(A30,Lotes,Total_Administrativo),0)),0)</f>
        <v>0</v>
      </c>
      <c r="J30" s="104">
        <f t="shared" ref="J30:J79" si="2">H30-I30</f>
        <v>0</v>
      </c>
    </row>
    <row r="31" spans="1:10" ht="23.5" customHeight="1" x14ac:dyDescent="0.25">
      <c r="A31" s="88" t="s">
        <v>200</v>
      </c>
      <c r="B31" s="39"/>
      <c r="C31" s="39"/>
      <c r="D31" s="39"/>
      <c r="E31" s="40"/>
      <c r="F31" s="39"/>
      <c r="G31" s="41"/>
      <c r="H31" s="104">
        <f t="shared" si="0"/>
        <v>0</v>
      </c>
      <c r="I31" s="104">
        <f>IFERROR(IF(G31="Reposo",0,IF(G31&gt;0,_xlfn.XLOOKUP(A31,Lotes,Precosecha)+_xlfn.XLOOKUP(A31,Lotes,Cosecha)+_xlfn.XLOOKUP(A31,Lotes,Poscosecha)+_xlfn.XLOOKUP(A31,Lotes,Total_Administrativo),0)),0)</f>
        <v>0</v>
      </c>
      <c r="J31" s="104">
        <f t="shared" si="2"/>
        <v>0</v>
      </c>
    </row>
    <row r="32" spans="1:10" ht="23.5" customHeight="1" x14ac:dyDescent="0.25">
      <c r="A32" s="88" t="s">
        <v>201</v>
      </c>
      <c r="B32" s="39"/>
      <c r="C32" s="39"/>
      <c r="D32" s="39"/>
      <c r="E32" s="40"/>
      <c r="F32" s="39"/>
      <c r="G32" s="41"/>
      <c r="H32" s="104">
        <f t="shared" si="0"/>
        <v>0</v>
      </c>
      <c r="I32" s="104">
        <f>IFERROR(IF(G32="Reposo",0,IF(G32&gt;0,_xlfn.XLOOKUP(A32,Lotes,Precosecha)+_xlfn.XLOOKUP(A32,Lotes,Cosecha)+_xlfn.XLOOKUP(A32,Lotes,Poscosecha)+_xlfn.XLOOKUP(A32,Lotes,Total_Administrativo),0)),0)</f>
        <v>0</v>
      </c>
      <c r="J32" s="104">
        <f t="shared" si="2"/>
        <v>0</v>
      </c>
    </row>
    <row r="33" spans="1:10" ht="23.5" customHeight="1" x14ac:dyDescent="0.25">
      <c r="A33" s="88" t="s">
        <v>202</v>
      </c>
      <c r="B33" s="39"/>
      <c r="C33" s="39"/>
      <c r="D33" s="39"/>
      <c r="E33" s="40"/>
      <c r="F33" s="39"/>
      <c r="G33" s="41"/>
      <c r="H33" s="104">
        <f t="shared" si="0"/>
        <v>0</v>
      </c>
      <c r="I33" s="104">
        <f>IFERROR(IF(G33="Reposo",0,IF(G33&gt;0,_xlfn.XLOOKUP(A33,Lotes,Precosecha)+_xlfn.XLOOKUP(A33,Lotes,Cosecha)+_xlfn.XLOOKUP(A33,Lotes,Poscosecha)+_xlfn.XLOOKUP(A33,Lotes,Total_Administrativo),0)),0)</f>
        <v>0</v>
      </c>
      <c r="J33" s="104">
        <f t="shared" si="2"/>
        <v>0</v>
      </c>
    </row>
    <row r="34" spans="1:10" ht="23.5" customHeight="1" x14ac:dyDescent="0.25">
      <c r="A34" s="88" t="s">
        <v>203</v>
      </c>
      <c r="B34" s="39"/>
      <c r="C34" s="39"/>
      <c r="D34" s="39"/>
      <c r="E34" s="40"/>
      <c r="F34" s="39"/>
      <c r="G34" s="41"/>
      <c r="H34" s="104">
        <f t="shared" si="0"/>
        <v>0</v>
      </c>
      <c r="I34" s="104">
        <f>IFERROR(IF(G34="Reposo",0,IF(G34&gt;0,_xlfn.XLOOKUP(A34,Lotes,Precosecha)+_xlfn.XLOOKUP(A34,Lotes,Cosecha)+_xlfn.XLOOKUP(A34,Lotes,Poscosecha)+_xlfn.XLOOKUP(A34,Lotes,Total_Administrativo),0)),0)</f>
        <v>0</v>
      </c>
      <c r="J34" s="104">
        <f t="shared" si="2"/>
        <v>0</v>
      </c>
    </row>
    <row r="35" spans="1:10" ht="23.5" customHeight="1" x14ac:dyDescent="0.25">
      <c r="A35" s="88" t="s">
        <v>204</v>
      </c>
      <c r="B35" s="39"/>
      <c r="C35" s="39"/>
      <c r="D35" s="39"/>
      <c r="E35" s="40"/>
      <c r="F35" s="39"/>
      <c r="G35" s="41"/>
      <c r="H35" s="104">
        <f t="shared" si="0"/>
        <v>0</v>
      </c>
      <c r="I35" s="104">
        <f>IFERROR(IF(G35="Reposo",0,IF(G35&gt;0,_xlfn.XLOOKUP(A35,Lotes,Precosecha)+_xlfn.XLOOKUP(A35,Lotes,Cosecha)+_xlfn.XLOOKUP(A35,Lotes,Poscosecha)+_xlfn.XLOOKUP(A35,Lotes,Total_Administrativo),0)),0)</f>
        <v>0</v>
      </c>
      <c r="J35" s="104">
        <f t="shared" si="2"/>
        <v>0</v>
      </c>
    </row>
    <row r="36" spans="1:10" ht="23.5" customHeight="1" x14ac:dyDescent="0.25">
      <c r="A36" s="88" t="s">
        <v>205</v>
      </c>
      <c r="B36" s="39"/>
      <c r="C36" s="39"/>
      <c r="D36" s="39"/>
      <c r="E36" s="40"/>
      <c r="F36" s="39"/>
      <c r="G36" s="41"/>
      <c r="H36" s="104">
        <f t="shared" si="0"/>
        <v>0</v>
      </c>
      <c r="I36" s="104">
        <f>IFERROR(IF(G36="Reposo",0,IF(G36&gt;0,_xlfn.XLOOKUP(A36,Lotes,Precosecha)+_xlfn.XLOOKUP(A36,Lotes,Cosecha)+_xlfn.XLOOKUP(A36,Lotes,Poscosecha)+_xlfn.XLOOKUP(A36,Lotes,Total_Administrativo),0)),0)</f>
        <v>0</v>
      </c>
      <c r="J36" s="104">
        <f t="shared" si="2"/>
        <v>0</v>
      </c>
    </row>
    <row r="37" spans="1:10" ht="23.5" customHeight="1" x14ac:dyDescent="0.25">
      <c r="A37" s="88" t="s">
        <v>206</v>
      </c>
      <c r="B37" s="39"/>
      <c r="C37" s="39"/>
      <c r="D37" s="39"/>
      <c r="E37" s="40"/>
      <c r="F37" s="39"/>
      <c r="G37" s="41"/>
      <c r="H37" s="104">
        <f t="shared" si="0"/>
        <v>0</v>
      </c>
      <c r="I37" s="104">
        <f>IFERROR(IF(G37="Reposo",0,IF(G37&gt;0,_xlfn.XLOOKUP(A37,Lotes,Precosecha)+_xlfn.XLOOKUP(A37,Lotes,Cosecha)+_xlfn.XLOOKUP(A37,Lotes,Poscosecha)+_xlfn.XLOOKUP(A37,Lotes,Total_Administrativo),0)),0)</f>
        <v>0</v>
      </c>
      <c r="J37" s="104">
        <f t="shared" si="2"/>
        <v>0</v>
      </c>
    </row>
    <row r="38" spans="1:10" ht="23.5" customHeight="1" x14ac:dyDescent="0.25">
      <c r="A38" s="88" t="s">
        <v>207</v>
      </c>
      <c r="B38" s="39"/>
      <c r="C38" s="39"/>
      <c r="D38" s="39"/>
      <c r="E38" s="40"/>
      <c r="F38" s="39"/>
      <c r="G38" s="41"/>
      <c r="H38" s="104">
        <f t="shared" si="0"/>
        <v>0</v>
      </c>
      <c r="I38" s="104">
        <f>IFERROR(IF(G38="Reposo",0,IF(G38&gt;0,_xlfn.XLOOKUP(A38,Lotes,Precosecha)+_xlfn.XLOOKUP(A38,Lotes,Cosecha)+_xlfn.XLOOKUP(A38,Lotes,Poscosecha)+_xlfn.XLOOKUP(A38,Lotes,Total_Administrativo),0)),0)</f>
        <v>0</v>
      </c>
      <c r="J38" s="104">
        <f t="shared" si="2"/>
        <v>0</v>
      </c>
    </row>
    <row r="39" spans="1:10" ht="23.5" customHeight="1" x14ac:dyDescent="0.25">
      <c r="A39" s="88" t="s">
        <v>208</v>
      </c>
      <c r="B39" s="39"/>
      <c r="C39" s="39"/>
      <c r="D39" s="39"/>
      <c r="E39" s="40"/>
      <c r="F39" s="39"/>
      <c r="G39" s="41"/>
      <c r="H39" s="104">
        <f t="shared" si="0"/>
        <v>0</v>
      </c>
      <c r="I39" s="104">
        <f>IFERROR(IF(G39="Reposo",0,IF(G39&gt;0,_xlfn.XLOOKUP(A39,Lotes,Precosecha)+_xlfn.XLOOKUP(A39,Lotes,Cosecha)+_xlfn.XLOOKUP(A39,Lotes,Poscosecha)+_xlfn.XLOOKUP(A39,Lotes,Total_Administrativo),0)),0)</f>
        <v>0</v>
      </c>
      <c r="J39" s="104">
        <f t="shared" si="2"/>
        <v>0</v>
      </c>
    </row>
    <row r="40" spans="1:10" ht="23.5" customHeight="1" x14ac:dyDescent="0.25">
      <c r="A40" s="88" t="s">
        <v>209</v>
      </c>
      <c r="B40" s="39"/>
      <c r="C40" s="39"/>
      <c r="D40" s="39"/>
      <c r="E40" s="40"/>
      <c r="F40" s="39"/>
      <c r="G40" s="41"/>
      <c r="H40" s="104">
        <f t="shared" si="0"/>
        <v>0</v>
      </c>
      <c r="I40" s="104">
        <f>IFERROR(IF(G40="Reposo",0,IF(G40&gt;0,_xlfn.XLOOKUP(A40,Lotes,Precosecha)+_xlfn.XLOOKUP(A40,Lotes,Cosecha)+_xlfn.XLOOKUP(A40,Lotes,Poscosecha)+_xlfn.XLOOKUP(A40,Lotes,Total_Administrativo),0)),0)</f>
        <v>0</v>
      </c>
      <c r="J40" s="104">
        <f t="shared" si="2"/>
        <v>0</v>
      </c>
    </row>
    <row r="41" spans="1:10" ht="23.5" customHeight="1" x14ac:dyDescent="0.25">
      <c r="A41" s="88" t="s">
        <v>210</v>
      </c>
      <c r="B41" s="39"/>
      <c r="C41" s="39"/>
      <c r="D41" s="39"/>
      <c r="E41" s="40"/>
      <c r="F41" s="39"/>
      <c r="G41" s="41"/>
      <c r="H41" s="104">
        <f t="shared" si="0"/>
        <v>0</v>
      </c>
      <c r="I41" s="104">
        <f>IFERROR(IF(G41="Reposo",0,IF(G41&gt;0,_xlfn.XLOOKUP(A41,Lotes,Precosecha)+_xlfn.XLOOKUP(A41,Lotes,Cosecha)+_xlfn.XLOOKUP(A41,Lotes,Poscosecha)+_xlfn.XLOOKUP(A41,Lotes,Total_Administrativo),0)),0)</f>
        <v>0</v>
      </c>
      <c r="J41" s="104">
        <f t="shared" si="2"/>
        <v>0</v>
      </c>
    </row>
    <row r="42" spans="1:10" ht="23.5" customHeight="1" x14ac:dyDescent="0.25">
      <c r="A42" s="88" t="s">
        <v>211</v>
      </c>
      <c r="B42" s="39"/>
      <c r="C42" s="39"/>
      <c r="D42" s="39"/>
      <c r="E42" s="40"/>
      <c r="F42" s="39"/>
      <c r="G42" s="41"/>
      <c r="H42" s="104">
        <f t="shared" si="0"/>
        <v>0</v>
      </c>
      <c r="I42" s="104">
        <f>IFERROR(IF(G42="Reposo",0,IF(G42&gt;0,_xlfn.XLOOKUP(A42,Lotes,Precosecha)+_xlfn.XLOOKUP(A42,Lotes,Cosecha)+_xlfn.XLOOKUP(A42,Lotes,Poscosecha)+_xlfn.XLOOKUP(A42,Lotes,Total_Administrativo),0)),0)</f>
        <v>0</v>
      </c>
      <c r="J42" s="104">
        <f t="shared" si="2"/>
        <v>0</v>
      </c>
    </row>
    <row r="43" spans="1:10" ht="23.5" customHeight="1" x14ac:dyDescent="0.25">
      <c r="A43" s="88" t="s">
        <v>212</v>
      </c>
      <c r="B43" s="39"/>
      <c r="C43" s="39"/>
      <c r="D43" s="39"/>
      <c r="E43" s="40"/>
      <c r="F43" s="39"/>
      <c r="G43" s="41"/>
      <c r="H43" s="104">
        <f t="shared" si="0"/>
        <v>0</v>
      </c>
      <c r="I43" s="104">
        <f>IFERROR(IF(G43="Reposo",0,IF(G43&gt;0,_xlfn.XLOOKUP(A43,Lotes,Precosecha)+_xlfn.XLOOKUP(A43,Lotes,Cosecha)+_xlfn.XLOOKUP(A43,Lotes,Poscosecha)+_xlfn.XLOOKUP(A43,Lotes,Total_Administrativo),0)),0)</f>
        <v>0</v>
      </c>
      <c r="J43" s="104">
        <f t="shared" si="2"/>
        <v>0</v>
      </c>
    </row>
    <row r="44" spans="1:10" ht="23.5" customHeight="1" x14ac:dyDescent="0.25">
      <c r="A44" s="88" t="s">
        <v>213</v>
      </c>
      <c r="B44" s="39"/>
      <c r="C44" s="39"/>
      <c r="D44" s="39"/>
      <c r="E44" s="40"/>
      <c r="F44" s="39"/>
      <c r="G44" s="41"/>
      <c r="H44" s="104">
        <f t="shared" si="0"/>
        <v>0</v>
      </c>
      <c r="I44" s="104">
        <f>IFERROR(IF(G44="Reposo",0,IF(G44&gt;0,_xlfn.XLOOKUP(A44,Lotes,Precosecha)+_xlfn.XLOOKUP(A44,Lotes,Cosecha)+_xlfn.XLOOKUP(A44,Lotes,Poscosecha)+_xlfn.XLOOKUP(A44,Lotes,Total_Administrativo),0)),0)</f>
        <v>0</v>
      </c>
      <c r="J44" s="104">
        <f t="shared" si="2"/>
        <v>0</v>
      </c>
    </row>
    <row r="45" spans="1:10" ht="23.5" customHeight="1" x14ac:dyDescent="0.25">
      <c r="A45" s="88" t="s">
        <v>214</v>
      </c>
      <c r="B45" s="39"/>
      <c r="C45" s="39"/>
      <c r="D45" s="39"/>
      <c r="E45" s="40"/>
      <c r="F45" s="39"/>
      <c r="G45" s="41"/>
      <c r="H45" s="104">
        <f t="shared" si="0"/>
        <v>0</v>
      </c>
      <c r="I45" s="104">
        <f>IFERROR(IF(G45="Reposo",0,IF(G45&gt;0,_xlfn.XLOOKUP(A45,Lotes,Precosecha)+_xlfn.XLOOKUP(A45,Lotes,Cosecha)+_xlfn.XLOOKUP(A45,Lotes,Poscosecha)+_xlfn.XLOOKUP(A45,Lotes,Total_Administrativo),0)),0)</f>
        <v>0</v>
      </c>
      <c r="J45" s="104">
        <f t="shared" si="2"/>
        <v>0</v>
      </c>
    </row>
    <row r="46" spans="1:10" ht="23.5" customHeight="1" x14ac:dyDescent="0.25">
      <c r="A46" s="88" t="s">
        <v>215</v>
      </c>
      <c r="B46" s="39"/>
      <c r="C46" s="39"/>
      <c r="D46" s="39"/>
      <c r="E46" s="40"/>
      <c r="F46" s="39"/>
      <c r="G46" s="41"/>
      <c r="H46" s="104">
        <f t="shared" si="0"/>
        <v>0</v>
      </c>
      <c r="I46" s="104">
        <f>IFERROR(IF(G46="Reposo",0,IF(G46&gt;0,_xlfn.XLOOKUP(A46,Lotes,Precosecha)+_xlfn.XLOOKUP(A46,Lotes,Cosecha)+_xlfn.XLOOKUP(A46,Lotes,Poscosecha)+_xlfn.XLOOKUP(A46,Lotes,Total_Administrativo),0)),0)</f>
        <v>0</v>
      </c>
      <c r="J46" s="104">
        <f t="shared" si="2"/>
        <v>0</v>
      </c>
    </row>
    <row r="47" spans="1:10" ht="23.5" customHeight="1" x14ac:dyDescent="0.25">
      <c r="A47" s="88" t="s">
        <v>216</v>
      </c>
      <c r="B47" s="39"/>
      <c r="C47" s="39"/>
      <c r="D47" s="39"/>
      <c r="E47" s="40"/>
      <c r="F47" s="39"/>
      <c r="G47" s="41"/>
      <c r="H47" s="104">
        <f t="shared" si="0"/>
        <v>0</v>
      </c>
      <c r="I47" s="104">
        <f>IFERROR(IF(G47="Reposo",0,IF(G47&gt;0,_xlfn.XLOOKUP(A47,Lotes,Precosecha)+_xlfn.XLOOKUP(A47,Lotes,Cosecha)+_xlfn.XLOOKUP(A47,Lotes,Poscosecha)+_xlfn.XLOOKUP(A47,Lotes,Total_Administrativo),0)),0)</f>
        <v>0</v>
      </c>
      <c r="J47" s="104">
        <f t="shared" si="2"/>
        <v>0</v>
      </c>
    </row>
    <row r="48" spans="1:10" ht="23.5" customHeight="1" x14ac:dyDescent="0.25">
      <c r="A48" s="88" t="s">
        <v>217</v>
      </c>
      <c r="B48" s="39"/>
      <c r="C48" s="39"/>
      <c r="D48" s="39"/>
      <c r="E48" s="40"/>
      <c r="F48" s="39"/>
      <c r="G48" s="41"/>
      <c r="H48" s="104">
        <f t="shared" si="0"/>
        <v>0</v>
      </c>
      <c r="I48" s="104">
        <f>IFERROR(IF(G48="Reposo",0,IF(G48&gt;0,_xlfn.XLOOKUP(A48,Lotes,Precosecha)+_xlfn.XLOOKUP(A48,Lotes,Cosecha)+_xlfn.XLOOKUP(A48,Lotes,Poscosecha)+_xlfn.XLOOKUP(A48,Lotes,Total_Administrativo),0)),0)</f>
        <v>0</v>
      </c>
      <c r="J48" s="104">
        <f t="shared" si="2"/>
        <v>0</v>
      </c>
    </row>
    <row r="49" spans="1:10" ht="23.5" customHeight="1" x14ac:dyDescent="0.25">
      <c r="A49" s="88" t="s">
        <v>218</v>
      </c>
      <c r="B49" s="39"/>
      <c r="C49" s="39"/>
      <c r="D49" s="39"/>
      <c r="E49" s="40"/>
      <c r="F49" s="39"/>
      <c r="G49" s="41"/>
      <c r="H49" s="104">
        <f t="shared" si="0"/>
        <v>0</v>
      </c>
      <c r="I49" s="104">
        <f>IFERROR(IF(G49="Reposo",0,IF(G49&gt;0,_xlfn.XLOOKUP(A49,Lotes,Precosecha)+_xlfn.XLOOKUP(A49,Lotes,Cosecha)+_xlfn.XLOOKUP(A49,Lotes,Poscosecha)+_xlfn.XLOOKUP(A49,Lotes,Total_Administrativo),0)),0)</f>
        <v>0</v>
      </c>
      <c r="J49" s="104">
        <f t="shared" si="2"/>
        <v>0</v>
      </c>
    </row>
    <row r="50" spans="1:10" ht="23.5" customHeight="1" x14ac:dyDescent="0.25">
      <c r="A50" s="88" t="s">
        <v>219</v>
      </c>
      <c r="B50" s="39"/>
      <c r="C50" s="39"/>
      <c r="D50" s="39"/>
      <c r="E50" s="40"/>
      <c r="F50" s="39"/>
      <c r="G50" s="41"/>
      <c r="H50" s="104">
        <f t="shared" si="0"/>
        <v>0</v>
      </c>
      <c r="I50" s="104">
        <f>IFERROR(IF(G50="Reposo",0,IF(G50&gt;0,_xlfn.XLOOKUP(A50,Lotes,Precosecha)+_xlfn.XLOOKUP(A50,Lotes,Cosecha)+_xlfn.XLOOKUP(A50,Lotes,Poscosecha)+_xlfn.XLOOKUP(A50,Lotes,Total_Administrativo),0)),0)</f>
        <v>0</v>
      </c>
      <c r="J50" s="104">
        <f t="shared" si="2"/>
        <v>0</v>
      </c>
    </row>
    <row r="51" spans="1:10" ht="23.5" customHeight="1" x14ac:dyDescent="0.25">
      <c r="A51" s="88" t="s">
        <v>220</v>
      </c>
      <c r="B51" s="39"/>
      <c r="C51" s="39"/>
      <c r="D51" s="39"/>
      <c r="E51" s="40"/>
      <c r="F51" s="39"/>
      <c r="G51" s="41"/>
      <c r="H51" s="104">
        <f t="shared" si="0"/>
        <v>0</v>
      </c>
      <c r="I51" s="104">
        <f>IFERROR(IF(G51="Reposo",0,IF(G51&gt;0,_xlfn.XLOOKUP(A51,Lotes,Precosecha)+_xlfn.XLOOKUP(A51,Lotes,Cosecha)+_xlfn.XLOOKUP(A51,Lotes,Poscosecha)+_xlfn.XLOOKUP(A51,Lotes,Total_Administrativo),0)),0)</f>
        <v>0</v>
      </c>
      <c r="J51" s="104">
        <f t="shared" si="2"/>
        <v>0</v>
      </c>
    </row>
    <row r="52" spans="1:10" ht="23.5" customHeight="1" x14ac:dyDescent="0.25">
      <c r="A52" s="88" t="s">
        <v>221</v>
      </c>
      <c r="B52" s="39"/>
      <c r="C52" s="39"/>
      <c r="D52" s="39"/>
      <c r="E52" s="40"/>
      <c r="F52" s="39"/>
      <c r="G52" s="41"/>
      <c r="H52" s="104">
        <f t="shared" si="0"/>
        <v>0</v>
      </c>
      <c r="I52" s="104">
        <f>IFERROR(IF(G52="Reposo",0,IF(G52&gt;0,_xlfn.XLOOKUP(A52,Lotes,Precosecha)+_xlfn.XLOOKUP(A52,Lotes,Cosecha)+_xlfn.XLOOKUP(A52,Lotes,Poscosecha)+_xlfn.XLOOKUP(A52,Lotes,Total_Administrativo),0)),0)</f>
        <v>0</v>
      </c>
      <c r="J52" s="104">
        <f t="shared" si="2"/>
        <v>0</v>
      </c>
    </row>
    <row r="53" spans="1:10" ht="23.5" customHeight="1" x14ac:dyDescent="0.25">
      <c r="A53" s="88" t="s">
        <v>222</v>
      </c>
      <c r="B53" s="39"/>
      <c r="C53" s="39"/>
      <c r="D53" s="39"/>
      <c r="E53" s="40"/>
      <c r="F53" s="39"/>
      <c r="G53" s="41"/>
      <c r="H53" s="104">
        <f t="shared" si="0"/>
        <v>0</v>
      </c>
      <c r="I53" s="104">
        <f>IFERROR(IF(G53="Reposo",0,IF(G53&gt;0,_xlfn.XLOOKUP(A53,Lotes,Precosecha)+_xlfn.XLOOKUP(A53,Lotes,Cosecha)+_xlfn.XLOOKUP(A53,Lotes,Poscosecha)+_xlfn.XLOOKUP(A53,Lotes,Total_Administrativo),0)),0)</f>
        <v>0</v>
      </c>
      <c r="J53" s="104">
        <f t="shared" si="2"/>
        <v>0</v>
      </c>
    </row>
    <row r="54" spans="1:10" ht="23.5" customHeight="1" x14ac:dyDescent="0.25">
      <c r="A54" s="88" t="s">
        <v>223</v>
      </c>
      <c r="B54" s="39"/>
      <c r="C54" s="39"/>
      <c r="D54" s="39"/>
      <c r="E54" s="40"/>
      <c r="F54" s="39"/>
      <c r="G54" s="41"/>
      <c r="H54" s="104">
        <f t="shared" si="0"/>
        <v>0</v>
      </c>
      <c r="I54" s="104">
        <f>IFERROR(IF(G54="Reposo",0,IF(G54&gt;0,_xlfn.XLOOKUP(A54,Lotes,Precosecha)+_xlfn.XLOOKUP(A54,Lotes,Cosecha)+_xlfn.XLOOKUP(A54,Lotes,Poscosecha)+_xlfn.XLOOKUP(A54,Lotes,Total_Administrativo),0)),0)</f>
        <v>0</v>
      </c>
      <c r="J54" s="104">
        <f t="shared" si="2"/>
        <v>0</v>
      </c>
    </row>
    <row r="55" spans="1:10" ht="23.5" customHeight="1" x14ac:dyDescent="0.25">
      <c r="A55" s="88" t="s">
        <v>224</v>
      </c>
      <c r="B55" s="39"/>
      <c r="C55" s="39"/>
      <c r="D55" s="39"/>
      <c r="E55" s="40"/>
      <c r="F55" s="39"/>
      <c r="G55" s="41"/>
      <c r="H55" s="104">
        <f t="shared" si="0"/>
        <v>0</v>
      </c>
      <c r="I55" s="104">
        <f>IFERROR(IF(G55="Reposo",0,IF(G55&gt;0,_xlfn.XLOOKUP(A55,Lotes,Precosecha)+_xlfn.XLOOKUP(A55,Lotes,Cosecha)+_xlfn.XLOOKUP(A55,Lotes,Poscosecha)+_xlfn.XLOOKUP(A55,Lotes,Total_Administrativo),0)),0)</f>
        <v>0</v>
      </c>
      <c r="J55" s="104">
        <f t="shared" si="2"/>
        <v>0</v>
      </c>
    </row>
    <row r="56" spans="1:10" ht="23.5" customHeight="1" x14ac:dyDescent="0.25">
      <c r="A56" s="88" t="s">
        <v>225</v>
      </c>
      <c r="B56" s="39"/>
      <c r="C56" s="39"/>
      <c r="D56" s="39"/>
      <c r="E56" s="40"/>
      <c r="F56" s="39"/>
      <c r="G56" s="41"/>
      <c r="H56" s="104">
        <f t="shared" si="0"/>
        <v>0</v>
      </c>
      <c r="I56" s="104">
        <f>IFERROR(IF(G56="Reposo",0,IF(G56&gt;0,_xlfn.XLOOKUP(A56,Lotes,Precosecha)+_xlfn.XLOOKUP(A56,Lotes,Cosecha)+_xlfn.XLOOKUP(A56,Lotes,Poscosecha)+_xlfn.XLOOKUP(A56,Lotes,Total_Administrativo),0)),0)</f>
        <v>0</v>
      </c>
      <c r="J56" s="104">
        <f t="shared" si="2"/>
        <v>0</v>
      </c>
    </row>
    <row r="57" spans="1:10" ht="23.5" customHeight="1" x14ac:dyDescent="0.25">
      <c r="A57" s="88" t="s">
        <v>226</v>
      </c>
      <c r="B57" s="39"/>
      <c r="C57" s="39"/>
      <c r="D57" s="39"/>
      <c r="E57" s="40"/>
      <c r="F57" s="39"/>
      <c r="G57" s="41"/>
      <c r="H57" s="104">
        <f t="shared" si="0"/>
        <v>0</v>
      </c>
      <c r="I57" s="104">
        <f>IFERROR(IF(G57="Reposo",0,IF(G57&gt;0,_xlfn.XLOOKUP(A57,Lotes,Precosecha)+_xlfn.XLOOKUP(A57,Lotes,Cosecha)+_xlfn.XLOOKUP(A57,Lotes,Poscosecha)+_xlfn.XLOOKUP(A57,Lotes,Total_Administrativo),0)),0)</f>
        <v>0</v>
      </c>
      <c r="J57" s="104">
        <f t="shared" si="2"/>
        <v>0</v>
      </c>
    </row>
    <row r="58" spans="1:10" ht="23.5" customHeight="1" x14ac:dyDescent="0.25">
      <c r="A58" s="88" t="s">
        <v>227</v>
      </c>
      <c r="B58" s="39"/>
      <c r="C58" s="39"/>
      <c r="D58" s="39"/>
      <c r="E58" s="40"/>
      <c r="F58" s="39"/>
      <c r="G58" s="41"/>
      <c r="H58" s="104">
        <f t="shared" si="0"/>
        <v>0</v>
      </c>
      <c r="I58" s="104">
        <f>IFERROR(IF(G58="Reposo",0,IF(G58&gt;0,_xlfn.XLOOKUP(A58,Lotes,Precosecha)+_xlfn.XLOOKUP(A58,Lotes,Cosecha)+_xlfn.XLOOKUP(A58,Lotes,Poscosecha)+_xlfn.XLOOKUP(A58,Lotes,Total_Administrativo),0)),0)</f>
        <v>0</v>
      </c>
      <c r="J58" s="104">
        <f t="shared" si="2"/>
        <v>0</v>
      </c>
    </row>
    <row r="59" spans="1:10" ht="23.5" customHeight="1" x14ac:dyDescent="0.25">
      <c r="A59" s="88" t="s">
        <v>228</v>
      </c>
      <c r="B59" s="39"/>
      <c r="C59" s="39"/>
      <c r="D59" s="39"/>
      <c r="E59" s="40"/>
      <c r="F59" s="39"/>
      <c r="G59" s="41"/>
      <c r="H59" s="104">
        <f t="shared" si="0"/>
        <v>0</v>
      </c>
      <c r="I59" s="104">
        <f>IFERROR(IF(G59="Reposo",0,IF(G59&gt;0,_xlfn.XLOOKUP(A59,Lotes,Precosecha)+_xlfn.XLOOKUP(A59,Lotes,Cosecha)+_xlfn.XLOOKUP(A59,Lotes,Poscosecha)+_xlfn.XLOOKUP(A59,Lotes,Total_Administrativo),0)),0)</f>
        <v>0</v>
      </c>
      <c r="J59" s="104">
        <f t="shared" si="2"/>
        <v>0</v>
      </c>
    </row>
    <row r="60" spans="1:10" ht="23.5" customHeight="1" x14ac:dyDescent="0.25">
      <c r="A60" s="88" t="s">
        <v>229</v>
      </c>
      <c r="B60" s="39"/>
      <c r="C60" s="39"/>
      <c r="D60" s="39"/>
      <c r="E60" s="40"/>
      <c r="F60" s="39"/>
      <c r="G60" s="41"/>
      <c r="H60" s="104">
        <f t="shared" si="0"/>
        <v>0</v>
      </c>
      <c r="I60" s="104">
        <f>IFERROR(IF(G60="Reposo",0,IF(G60&gt;0,_xlfn.XLOOKUP(A60,Lotes,Precosecha)+_xlfn.XLOOKUP(A60,Lotes,Cosecha)+_xlfn.XLOOKUP(A60,Lotes,Poscosecha)+_xlfn.XLOOKUP(A60,Lotes,Total_Administrativo),0)),0)</f>
        <v>0</v>
      </c>
      <c r="J60" s="104">
        <f t="shared" si="2"/>
        <v>0</v>
      </c>
    </row>
    <row r="61" spans="1:10" ht="23.5" customHeight="1" x14ac:dyDescent="0.25">
      <c r="A61" s="88" t="s">
        <v>230</v>
      </c>
      <c r="B61" s="39"/>
      <c r="C61" s="39"/>
      <c r="D61" s="39"/>
      <c r="E61" s="40"/>
      <c r="F61" s="39"/>
      <c r="G61" s="41"/>
      <c r="H61" s="104">
        <f t="shared" si="0"/>
        <v>0</v>
      </c>
      <c r="I61" s="104">
        <f>IFERROR(IF(G61="Reposo",0,IF(G61&gt;0,_xlfn.XLOOKUP(A61,Lotes,Precosecha)+_xlfn.XLOOKUP(A61,Lotes,Cosecha)+_xlfn.XLOOKUP(A61,Lotes,Poscosecha)+_xlfn.XLOOKUP(A61,Lotes,Total_Administrativo),0)),0)</f>
        <v>0</v>
      </c>
      <c r="J61" s="104">
        <f t="shared" si="2"/>
        <v>0</v>
      </c>
    </row>
    <row r="62" spans="1:10" ht="23.5" customHeight="1" x14ac:dyDescent="0.25">
      <c r="A62" s="88" t="s">
        <v>231</v>
      </c>
      <c r="B62" s="39"/>
      <c r="C62" s="39"/>
      <c r="D62" s="39"/>
      <c r="E62" s="40"/>
      <c r="F62" s="39"/>
      <c r="G62" s="41"/>
      <c r="H62" s="104">
        <f t="shared" si="0"/>
        <v>0</v>
      </c>
      <c r="I62" s="104">
        <f>IFERROR(IF(G62="Reposo",0,IF(G62&gt;0,_xlfn.XLOOKUP(A62,Lotes,Precosecha)+_xlfn.XLOOKUP(A62,Lotes,Cosecha)+_xlfn.XLOOKUP(A62,Lotes,Poscosecha)+_xlfn.XLOOKUP(A62,Lotes,Total_Administrativo),0)),0)</f>
        <v>0</v>
      </c>
      <c r="J62" s="104">
        <f t="shared" si="2"/>
        <v>0</v>
      </c>
    </row>
    <row r="63" spans="1:10" ht="23.5" customHeight="1" x14ac:dyDescent="0.25">
      <c r="A63" s="88" t="s">
        <v>232</v>
      </c>
      <c r="B63" s="39"/>
      <c r="C63" s="39"/>
      <c r="D63" s="39"/>
      <c r="E63" s="40"/>
      <c r="F63" s="39"/>
      <c r="G63" s="41"/>
      <c r="H63" s="104">
        <f t="shared" si="0"/>
        <v>0</v>
      </c>
      <c r="I63" s="104">
        <f>IFERROR(IF(G63="Reposo",0,IF(G63&gt;0,_xlfn.XLOOKUP(A63,Lotes,Precosecha)+_xlfn.XLOOKUP(A63,Lotes,Cosecha)+_xlfn.XLOOKUP(A63,Lotes,Poscosecha)+_xlfn.XLOOKUP(A63,Lotes,Total_Administrativo),0)),0)</f>
        <v>0</v>
      </c>
      <c r="J63" s="104">
        <f t="shared" si="2"/>
        <v>0</v>
      </c>
    </row>
    <row r="64" spans="1:10" ht="23.5" customHeight="1" x14ac:dyDescent="0.25">
      <c r="A64" s="88" t="s">
        <v>233</v>
      </c>
      <c r="B64" s="39"/>
      <c r="C64" s="39"/>
      <c r="D64" s="39"/>
      <c r="E64" s="40"/>
      <c r="F64" s="39"/>
      <c r="G64" s="41"/>
      <c r="H64" s="104">
        <f t="shared" si="0"/>
        <v>0</v>
      </c>
      <c r="I64" s="104">
        <f>IFERROR(IF(G64="Reposo",0,IF(G64&gt;0,_xlfn.XLOOKUP(A64,Lotes,Precosecha)+_xlfn.XLOOKUP(A64,Lotes,Cosecha)+_xlfn.XLOOKUP(A64,Lotes,Poscosecha)+_xlfn.XLOOKUP(A64,Lotes,Total_Administrativo),0)),0)</f>
        <v>0</v>
      </c>
      <c r="J64" s="104">
        <f t="shared" si="2"/>
        <v>0</v>
      </c>
    </row>
    <row r="65" spans="1:10" ht="23.5" customHeight="1" x14ac:dyDescent="0.25">
      <c r="A65" s="88" t="s">
        <v>234</v>
      </c>
      <c r="B65" s="39"/>
      <c r="C65" s="39"/>
      <c r="D65" s="39"/>
      <c r="E65" s="40"/>
      <c r="F65" s="39"/>
      <c r="G65" s="41"/>
      <c r="H65" s="104">
        <f t="shared" si="0"/>
        <v>0</v>
      </c>
      <c r="I65" s="104">
        <f>IFERROR(IF(G65="Reposo",0,IF(G65&gt;0,_xlfn.XLOOKUP(A65,Lotes,Precosecha)+_xlfn.XLOOKUP(A65,Lotes,Cosecha)+_xlfn.XLOOKUP(A65,Lotes,Poscosecha)+_xlfn.XLOOKUP(A65,Lotes,Total_Administrativo),0)),0)</f>
        <v>0</v>
      </c>
      <c r="J65" s="104">
        <f t="shared" si="2"/>
        <v>0</v>
      </c>
    </row>
    <row r="66" spans="1:10" ht="23.5" customHeight="1" x14ac:dyDescent="0.25">
      <c r="A66" s="88" t="s">
        <v>235</v>
      </c>
      <c r="B66" s="39"/>
      <c r="C66" s="39"/>
      <c r="D66" s="39"/>
      <c r="E66" s="40"/>
      <c r="F66" s="39"/>
      <c r="G66" s="41"/>
      <c r="H66" s="104">
        <f t="shared" si="0"/>
        <v>0</v>
      </c>
      <c r="I66" s="104">
        <f>IFERROR(IF(G66="Reposo",0,IF(G66&gt;0,_xlfn.XLOOKUP(A66,Lotes,Precosecha)+_xlfn.XLOOKUP(A66,Lotes,Cosecha)+_xlfn.XLOOKUP(A66,Lotes,Poscosecha)+_xlfn.XLOOKUP(A66,Lotes,Total_Administrativo),0)),0)</f>
        <v>0</v>
      </c>
      <c r="J66" s="104">
        <f t="shared" si="2"/>
        <v>0</v>
      </c>
    </row>
    <row r="67" spans="1:10" ht="23.5" customHeight="1" x14ac:dyDescent="0.25">
      <c r="A67" s="88" t="s">
        <v>236</v>
      </c>
      <c r="B67" s="39"/>
      <c r="C67" s="39"/>
      <c r="D67" s="39"/>
      <c r="E67" s="40"/>
      <c r="F67" s="39"/>
      <c r="G67" s="41"/>
      <c r="H67" s="104">
        <f t="shared" si="0"/>
        <v>0</v>
      </c>
      <c r="I67" s="104">
        <f>IFERROR(IF(G67="Reposo",0,IF(G67&gt;0,_xlfn.XLOOKUP(A67,Lotes,Precosecha)+_xlfn.XLOOKUP(A67,Lotes,Cosecha)+_xlfn.XLOOKUP(A67,Lotes,Poscosecha)+_xlfn.XLOOKUP(A67,Lotes,Total_Administrativo),0)),0)</f>
        <v>0</v>
      </c>
      <c r="J67" s="104">
        <f t="shared" si="2"/>
        <v>0</v>
      </c>
    </row>
    <row r="68" spans="1:10" ht="23.5" customHeight="1" x14ac:dyDescent="0.25">
      <c r="A68" s="88" t="s">
        <v>237</v>
      </c>
      <c r="B68" s="39"/>
      <c r="C68" s="39"/>
      <c r="D68" s="39"/>
      <c r="E68" s="40"/>
      <c r="F68" s="39"/>
      <c r="G68" s="41"/>
      <c r="H68" s="104">
        <f t="shared" si="0"/>
        <v>0</v>
      </c>
      <c r="I68" s="104">
        <f>IFERROR(IF(G68="Reposo",0,IF(G68&gt;0,_xlfn.XLOOKUP(A68,Lotes,Precosecha)+_xlfn.XLOOKUP(A68,Lotes,Cosecha)+_xlfn.XLOOKUP(A68,Lotes,Poscosecha)+_xlfn.XLOOKUP(A68,Lotes,Total_Administrativo),0)),0)</f>
        <v>0</v>
      </c>
      <c r="J68" s="104">
        <f t="shared" si="2"/>
        <v>0</v>
      </c>
    </row>
    <row r="69" spans="1:10" ht="23.5" customHeight="1" x14ac:dyDescent="0.25">
      <c r="A69" s="88" t="s">
        <v>238</v>
      </c>
      <c r="B69" s="39"/>
      <c r="C69" s="39"/>
      <c r="D69" s="39"/>
      <c r="E69" s="40"/>
      <c r="F69" s="39"/>
      <c r="G69" s="41"/>
      <c r="H69" s="104">
        <f t="shared" si="0"/>
        <v>0</v>
      </c>
      <c r="I69" s="104">
        <f>IFERROR(IF(G69="Reposo",0,IF(G69&gt;0,_xlfn.XLOOKUP(A69,Lotes,Precosecha)+_xlfn.XLOOKUP(A69,Lotes,Cosecha)+_xlfn.XLOOKUP(A69,Lotes,Poscosecha)+_xlfn.XLOOKUP(A69,Lotes,Total_Administrativo),0)),0)</f>
        <v>0</v>
      </c>
      <c r="J69" s="104">
        <f t="shared" si="2"/>
        <v>0</v>
      </c>
    </row>
    <row r="70" spans="1:10" ht="23.5" customHeight="1" x14ac:dyDescent="0.25">
      <c r="A70" s="88" t="s">
        <v>239</v>
      </c>
      <c r="B70" s="39"/>
      <c r="C70" s="39"/>
      <c r="D70" s="39"/>
      <c r="E70" s="40"/>
      <c r="F70" s="39"/>
      <c r="G70" s="41"/>
      <c r="H70" s="104">
        <f t="shared" ref="H70:H79" si="3">IF(G70="Reposo",0,_xlfn.XLOOKUP(A70,Lotes,Ingresos))</f>
        <v>0</v>
      </c>
      <c r="I70" s="104">
        <f>IFERROR(IF(G70="Reposo",0,IF(G70&gt;0,_xlfn.XLOOKUP(A70,Lotes,Precosecha)+_xlfn.XLOOKUP(A70,Lotes,Cosecha)+_xlfn.XLOOKUP(A70,Lotes,Poscosecha)+_xlfn.XLOOKUP(A70,Lotes,Total_Administrativo),0)),0)</f>
        <v>0</v>
      </c>
      <c r="J70" s="104">
        <f t="shared" si="2"/>
        <v>0</v>
      </c>
    </row>
    <row r="71" spans="1:10" ht="23.5" customHeight="1" x14ac:dyDescent="0.25">
      <c r="A71" s="88" t="s">
        <v>240</v>
      </c>
      <c r="B71" s="39"/>
      <c r="C71" s="39"/>
      <c r="D71" s="39"/>
      <c r="E71" s="40"/>
      <c r="F71" s="39"/>
      <c r="G71" s="41"/>
      <c r="H71" s="104">
        <f t="shared" si="3"/>
        <v>0</v>
      </c>
      <c r="I71" s="104">
        <f>IFERROR(IF(G71="Reposo",0,IF(G71&gt;0,_xlfn.XLOOKUP(A71,Lotes,Precosecha)+_xlfn.XLOOKUP(A71,Lotes,Cosecha)+_xlfn.XLOOKUP(A71,Lotes,Poscosecha)+_xlfn.XLOOKUP(A71,Lotes,Total_Administrativo),0)),0)</f>
        <v>0</v>
      </c>
      <c r="J71" s="104">
        <f t="shared" si="2"/>
        <v>0</v>
      </c>
    </row>
    <row r="72" spans="1:10" ht="23.5" customHeight="1" x14ac:dyDescent="0.25">
      <c r="A72" s="88" t="s">
        <v>241</v>
      </c>
      <c r="B72" s="39"/>
      <c r="C72" s="39"/>
      <c r="D72" s="39"/>
      <c r="E72" s="40"/>
      <c r="F72" s="39"/>
      <c r="G72" s="41"/>
      <c r="H72" s="104">
        <f t="shared" si="3"/>
        <v>0</v>
      </c>
      <c r="I72" s="104">
        <f>IFERROR(IF(G72="Reposo",0,IF(G72&gt;0,_xlfn.XLOOKUP(A72,Lotes,Precosecha)+_xlfn.XLOOKUP(A72,Lotes,Cosecha)+_xlfn.XLOOKUP(A72,Lotes,Poscosecha)+_xlfn.XLOOKUP(A72,Lotes,Total_Administrativo),0)),0)</f>
        <v>0</v>
      </c>
      <c r="J72" s="104">
        <f t="shared" si="2"/>
        <v>0</v>
      </c>
    </row>
    <row r="73" spans="1:10" ht="23.5" customHeight="1" x14ac:dyDescent="0.25">
      <c r="A73" s="88" t="s">
        <v>242</v>
      </c>
      <c r="B73" s="39"/>
      <c r="C73" s="39"/>
      <c r="D73" s="39"/>
      <c r="E73" s="40"/>
      <c r="F73" s="39"/>
      <c r="G73" s="41"/>
      <c r="H73" s="104">
        <f t="shared" si="3"/>
        <v>0</v>
      </c>
      <c r="I73" s="104">
        <f>IFERROR(IF(G73="Reposo",0,IF(G73&gt;0,_xlfn.XLOOKUP(A73,Lotes,Precosecha)+_xlfn.XLOOKUP(A73,Lotes,Cosecha)+_xlfn.XLOOKUP(A73,Lotes,Poscosecha)+_xlfn.XLOOKUP(A73,Lotes,Total_Administrativo),0)),0)</f>
        <v>0</v>
      </c>
      <c r="J73" s="104">
        <f t="shared" si="2"/>
        <v>0</v>
      </c>
    </row>
    <row r="74" spans="1:10" ht="23.5" customHeight="1" x14ac:dyDescent="0.25">
      <c r="A74" s="88" t="s">
        <v>243</v>
      </c>
      <c r="B74" s="39"/>
      <c r="C74" s="39"/>
      <c r="D74" s="39"/>
      <c r="E74" s="40"/>
      <c r="F74" s="39"/>
      <c r="G74" s="41"/>
      <c r="H74" s="104">
        <f t="shared" si="3"/>
        <v>0</v>
      </c>
      <c r="I74" s="104">
        <f>IFERROR(IF(G74="Reposo",0,IF(G74&gt;0,_xlfn.XLOOKUP(A74,Lotes,Precosecha)+_xlfn.XLOOKUP(A74,Lotes,Cosecha)+_xlfn.XLOOKUP(A74,Lotes,Poscosecha)+_xlfn.XLOOKUP(A74,Lotes,Total_Administrativo),0)),0)</f>
        <v>0</v>
      </c>
      <c r="J74" s="104">
        <f t="shared" si="2"/>
        <v>0</v>
      </c>
    </row>
    <row r="75" spans="1:10" ht="23.5" customHeight="1" x14ac:dyDescent="0.25">
      <c r="A75" s="88" t="s">
        <v>244</v>
      </c>
      <c r="B75" s="39"/>
      <c r="C75" s="39"/>
      <c r="D75" s="39"/>
      <c r="E75" s="40"/>
      <c r="F75" s="39"/>
      <c r="G75" s="41"/>
      <c r="H75" s="104">
        <f t="shared" si="3"/>
        <v>0</v>
      </c>
      <c r="I75" s="104">
        <f>IFERROR(IF(G75="Reposo",0,IF(G75&gt;0,_xlfn.XLOOKUP(A75,Lotes,Precosecha)+_xlfn.XLOOKUP(A75,Lotes,Cosecha)+_xlfn.XLOOKUP(A75,Lotes,Poscosecha)+_xlfn.XLOOKUP(A75,Lotes,Total_Administrativo),0)),0)</f>
        <v>0</v>
      </c>
      <c r="J75" s="104">
        <f t="shared" si="2"/>
        <v>0</v>
      </c>
    </row>
    <row r="76" spans="1:10" ht="23.5" customHeight="1" x14ac:dyDescent="0.25">
      <c r="A76" s="88" t="s">
        <v>245</v>
      </c>
      <c r="B76" s="39"/>
      <c r="C76" s="39"/>
      <c r="D76" s="39"/>
      <c r="E76" s="40"/>
      <c r="F76" s="39"/>
      <c r="G76" s="41"/>
      <c r="H76" s="104">
        <f t="shared" si="3"/>
        <v>0</v>
      </c>
      <c r="I76" s="104">
        <f>IFERROR(IF(G76="Reposo",0,IF(G76&gt;0,_xlfn.XLOOKUP(A76,Lotes,Precosecha)+_xlfn.XLOOKUP(A76,Lotes,Cosecha)+_xlfn.XLOOKUP(A76,Lotes,Poscosecha)+_xlfn.XLOOKUP(A76,Lotes,Total_Administrativo),0)),0)</f>
        <v>0</v>
      </c>
      <c r="J76" s="104">
        <f t="shared" si="2"/>
        <v>0</v>
      </c>
    </row>
    <row r="77" spans="1:10" ht="23.5" customHeight="1" x14ac:dyDescent="0.25">
      <c r="A77" s="88" t="s">
        <v>246</v>
      </c>
      <c r="B77" s="39"/>
      <c r="C77" s="39"/>
      <c r="D77" s="39"/>
      <c r="E77" s="40"/>
      <c r="F77" s="39"/>
      <c r="G77" s="41"/>
      <c r="H77" s="104">
        <f t="shared" si="3"/>
        <v>0</v>
      </c>
      <c r="I77" s="104">
        <f>IFERROR(IF(G77="Reposo",0,IF(G77&gt;0,_xlfn.XLOOKUP(A77,Lotes,Precosecha)+_xlfn.XLOOKUP(A77,Lotes,Cosecha)+_xlfn.XLOOKUP(A77,Lotes,Poscosecha)+_xlfn.XLOOKUP(A77,Lotes,Total_Administrativo),0)),0)</f>
        <v>0</v>
      </c>
      <c r="J77" s="104">
        <f t="shared" si="2"/>
        <v>0</v>
      </c>
    </row>
    <row r="78" spans="1:10" ht="23.5" customHeight="1" x14ac:dyDescent="0.25">
      <c r="A78" s="88" t="s">
        <v>247</v>
      </c>
      <c r="B78" s="39"/>
      <c r="C78" s="39"/>
      <c r="D78" s="39"/>
      <c r="E78" s="40"/>
      <c r="F78" s="39"/>
      <c r="G78" s="41"/>
      <c r="H78" s="104">
        <f t="shared" si="3"/>
        <v>0</v>
      </c>
      <c r="I78" s="104">
        <f>IFERROR(IF(G78="Reposo",0,IF(G78&gt;0,_xlfn.XLOOKUP(A78,Lotes,Precosecha)+_xlfn.XLOOKUP(A78,Lotes,Cosecha)+_xlfn.XLOOKUP(A78,Lotes,Poscosecha)+_xlfn.XLOOKUP(A78,Lotes,Total_Administrativo),0)),0)</f>
        <v>0</v>
      </c>
      <c r="J78" s="104">
        <f t="shared" si="2"/>
        <v>0</v>
      </c>
    </row>
    <row r="79" spans="1:10" ht="23.5" customHeight="1" x14ac:dyDescent="0.25">
      <c r="A79" s="89" t="s">
        <v>248</v>
      </c>
      <c r="B79" s="42"/>
      <c r="C79" s="42"/>
      <c r="D79" s="42"/>
      <c r="E79" s="43"/>
      <c r="F79" s="42"/>
      <c r="G79" s="44"/>
      <c r="H79" s="105">
        <f t="shared" si="3"/>
        <v>0</v>
      </c>
      <c r="I79" s="105">
        <f>IFERROR(IF(G79="Reposo",0,IF(G79&gt;0,_xlfn.XLOOKUP(A79,Lotes,Precosecha)+_xlfn.XLOOKUP(A79,Lotes,Cosecha)+_xlfn.XLOOKUP(A79,Lotes,Poscosecha)+_xlfn.XLOOKUP(A79,Lotes,Total_Administrativo),0)),0)</f>
        <v>0</v>
      </c>
      <c r="J79" s="105">
        <f t="shared" si="2"/>
        <v>0</v>
      </c>
    </row>
    <row r="119" spans="2:10" x14ac:dyDescent="0.25">
      <c r="B119" s="4"/>
      <c r="C119" s="4"/>
      <c r="D119" s="4"/>
      <c r="E119" s="4"/>
      <c r="F119" s="4"/>
      <c r="G119" s="4"/>
      <c r="H119" s="16"/>
      <c r="I119" s="16"/>
      <c r="J119" s="16"/>
    </row>
  </sheetData>
  <sheetProtection algorithmName="SHA-512" hashValue="EXrvfLK3/C5+AeNp1XA2Jy5bovQqHUEXSg4L8QjbmPwLcUhOxmlzeLcMWDGWXlN2cnM6iKw/F9Ikn14CR0EXPw==" saltValue="zrLhjbsj5oGeM/H6gT3QhQ==" spinCount="100000" sheet="1" objects="1" scenarios="1"/>
  <autoFilter ref="A3:J3" xr:uid="{5388033C-D5EF-4204-902C-ABB8BBDF1B9D}"/>
  <mergeCells count="9">
    <mergeCell ref="A1:J1"/>
    <mergeCell ref="A3:A4"/>
    <mergeCell ref="B3:B4"/>
    <mergeCell ref="C3:C4"/>
    <mergeCell ref="D3:D4"/>
    <mergeCell ref="E3:E4"/>
    <mergeCell ref="F3:F4"/>
    <mergeCell ref="G3:G4"/>
    <mergeCell ref="B2:D2"/>
  </mergeCells>
  <phoneticPr fontId="12" type="noConversion"/>
  <dataValidations count="1">
    <dataValidation type="list" allowBlank="1" showInputMessage="1" showErrorMessage="1" sqref="G5:G79" xr:uid="{CF1F9BAD-13AE-4E35-9CA6-8F24EC0C2670}">
      <formula1>INDIRECT(Ciclo)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BF66B0D-8F75-4BD0-BF5E-A8D87A0281E1}">
          <x14:formula1>
            <xm:f>Hoja1!$A$9:$A$10</xm:f>
          </x14:formula1>
          <xm:sqref>F5:F79</xm:sqref>
        </x14:dataValidation>
        <x14:dataValidation type="list" allowBlank="1" showInputMessage="1" showErrorMessage="1" xr:uid="{1B23F270-B7BB-489A-BDE4-E42A17A9C32B}">
          <x14:formula1>
            <xm:f>Hoja1!$A$2:$A$7</xm:f>
          </x14:formula1>
          <xm:sqref>B2</xm:sqref>
        </x14:dataValidation>
        <x14:dataValidation type="list" allowBlank="1" showInputMessage="1" showErrorMessage="1" xr:uid="{97B0ABFE-5CAA-4C82-BC14-361C27106A06}">
          <x14:formula1>
            <xm:f>Ciclos!$A$1:$C$1</xm:f>
          </x14:formula1>
          <xm:sqref>F2</xm:sqref>
        </x14:dataValidation>
        <x14:dataValidation type="list" allowBlank="1" showInputMessage="1" showErrorMessage="1" xr:uid="{3A44A061-C67C-40DF-9B12-6F9120C91CE9}">
          <x14:formula1>
            <xm:f>Ciclos!$H$1:$H$9</xm:f>
          </x14:formula1>
          <xm:sqref>J2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39AB7-31FE-4C6E-8D5D-FB42174DEA5B}">
  <sheetPr codeName="Hoja8">
    <pageSetUpPr fitToPage="1"/>
  </sheetPr>
  <dimension ref="A1:L38"/>
  <sheetViews>
    <sheetView showGridLines="0" showRowColHeaders="0" zoomScale="55" zoomScaleNormal="55" workbookViewId="0">
      <pane ySplit="3" topLeftCell="A4" activePane="bottomLeft" state="frozen"/>
      <selection pane="bottomLeft" activeCell="D6" sqref="D6"/>
    </sheetView>
  </sheetViews>
  <sheetFormatPr baseColWidth="10" defaultRowHeight="13.5" x14ac:dyDescent="0.25"/>
  <cols>
    <col min="1" max="1" width="50.25" customWidth="1"/>
    <col min="2" max="2" width="29.4140625" customWidth="1"/>
    <col min="3" max="3" width="29.58203125" customWidth="1"/>
    <col min="4" max="4" width="29.58203125" style="94" customWidth="1"/>
    <col min="5" max="5" width="44.5" customWidth="1"/>
  </cols>
  <sheetData>
    <row r="1" spans="1:5" ht="38" customHeight="1" thickBot="1" x14ac:dyDescent="0.3">
      <c r="A1" s="106" t="s">
        <v>292</v>
      </c>
      <c r="B1" s="106"/>
      <c r="C1" s="106"/>
      <c r="D1" s="106"/>
      <c r="E1" s="106"/>
    </row>
    <row r="2" spans="1:5" ht="35" customHeight="1" x14ac:dyDescent="0.3">
      <c r="A2" s="112" t="str">
        <f>CONCATENATE("Área : ",SUM(Áreas)," ",UM," | ","Ciclo ",Ciclo,"|")</f>
        <v>Área : 0 Hectárea | Ciclo _3_años|</v>
      </c>
      <c r="B2" s="112"/>
      <c r="C2" s="112"/>
      <c r="D2" s="112"/>
      <c r="E2" s="72" t="str">
        <f>CONCATENATE("Jornal. Q.",'Eficiencias &amp; Configuración'!B$2)</f>
        <v>Jornal. Q.100</v>
      </c>
    </row>
    <row r="3" spans="1:5" ht="31.5" customHeight="1" x14ac:dyDescent="0.3">
      <c r="A3" s="13" t="s">
        <v>288</v>
      </c>
      <c r="B3" s="19" t="s">
        <v>155</v>
      </c>
      <c r="C3" s="19" t="s">
        <v>287</v>
      </c>
      <c r="D3" s="99" t="s">
        <v>291</v>
      </c>
      <c r="E3" s="13" t="s">
        <v>290</v>
      </c>
    </row>
    <row r="4" spans="1:5" ht="31.5" customHeight="1" x14ac:dyDescent="0.3">
      <c r="A4" s="13" t="s">
        <v>18</v>
      </c>
      <c r="B4" s="19"/>
      <c r="C4" s="19"/>
      <c r="D4" s="99"/>
      <c r="E4" s="13"/>
    </row>
    <row r="5" spans="1:5" ht="31.5" customHeight="1" x14ac:dyDescent="0.25">
      <c r="A5" s="49" t="s">
        <v>289</v>
      </c>
      <c r="B5" s="50">
        <f>SUM(Producción)*0.9</f>
        <v>0</v>
      </c>
      <c r="C5" s="52">
        <f>B5*E5</f>
        <v>0</v>
      </c>
      <c r="D5" s="94">
        <f>SUMIF(Detalle_Ex,"Venta de café de primera",Valor_Ex)</f>
        <v>0</v>
      </c>
      <c r="E5" s="51">
        <f>Precio_Venta_Primera</f>
        <v>125</v>
      </c>
    </row>
    <row r="6" spans="1:5" ht="31.5" customHeight="1" x14ac:dyDescent="0.25">
      <c r="A6" s="49" t="s">
        <v>70</v>
      </c>
      <c r="B6" s="50">
        <f>SUM(Producción)*0.07</f>
        <v>0</v>
      </c>
      <c r="C6" s="52">
        <f>B6*E6</f>
        <v>0</v>
      </c>
      <c r="D6" s="94">
        <f>SUMIF(Detalle_Ex,"Venta de café de segunda",Valor_Ex)</f>
        <v>0</v>
      </c>
      <c r="E6" s="51">
        <f>Precio_Venta_Segunda</f>
        <v>95</v>
      </c>
    </row>
    <row r="7" spans="1:5" ht="31.5" customHeight="1" x14ac:dyDescent="0.25">
      <c r="A7" s="49" t="s">
        <v>71</v>
      </c>
      <c r="B7" s="50">
        <f>SUM(Producción)*0.03</f>
        <v>0</v>
      </c>
      <c r="C7" s="52">
        <f>B7*E7</f>
        <v>0</v>
      </c>
      <c r="D7" s="94">
        <f>SUMIF(Detalle_Ex,"Venta de café inferior",Valor_Ex)</f>
        <v>0</v>
      </c>
      <c r="E7" s="51">
        <f>Precio_Venta_Inferior</f>
        <v>45</v>
      </c>
    </row>
    <row r="8" spans="1:5" ht="31.5" customHeight="1" x14ac:dyDescent="0.3">
      <c r="A8" s="53" t="s">
        <v>72</v>
      </c>
      <c r="B8" s="54">
        <f>SUM(B5:B7)</f>
        <v>0</v>
      </c>
      <c r="C8" s="55">
        <f>SUM(C5:C7)</f>
        <v>0</v>
      </c>
      <c r="D8" s="96">
        <f>SUM(D5:D7)</f>
        <v>0</v>
      </c>
      <c r="E8" s="56"/>
    </row>
    <row r="9" spans="1:5" ht="31.5" customHeight="1" x14ac:dyDescent="0.25">
      <c r="A9" s="57" t="s">
        <v>272</v>
      </c>
      <c r="B9" s="58" t="s">
        <v>155</v>
      </c>
      <c r="C9" s="57"/>
      <c r="D9" s="95"/>
      <c r="E9" s="57"/>
    </row>
    <row r="10" spans="1:5" ht="31.5" customHeight="1" x14ac:dyDescent="0.25">
      <c r="A10" s="49" t="s">
        <v>156</v>
      </c>
      <c r="B10" s="50">
        <f>SUM(Poda)</f>
        <v>0</v>
      </c>
      <c r="C10" s="52">
        <f>B10*Jornal</f>
        <v>0</v>
      </c>
      <c r="D10" s="94">
        <f>SUMIF(Detalle_Ex,"Poda",Valor_Ex)</f>
        <v>0</v>
      </c>
      <c r="E10" s="100" t="str">
        <f>CONCATENATE('Eficiencias &amp; Configuración'!B3," ",'Eficiencias &amp; Configuración'!C3)</f>
        <v>1500 plantas por día</v>
      </c>
    </row>
    <row r="11" spans="1:5" ht="31.5" customHeight="1" x14ac:dyDescent="0.25">
      <c r="A11" s="49" t="s">
        <v>157</v>
      </c>
      <c r="B11" s="50">
        <f>SUM(Paliativo)</f>
        <v>0</v>
      </c>
      <c r="C11" s="52">
        <f>B11*Jornal</f>
        <v>0</v>
      </c>
      <c r="D11" s="94">
        <f>SUMIF(Detalle_Ex,"Poda paliativa",Valor_Ex)</f>
        <v>0</v>
      </c>
      <c r="E11" s="100" t="str">
        <f>CONCATENATE('Eficiencias &amp; Configuración'!B4," ",'Eficiencias &amp; Configuración'!C4)</f>
        <v>1200 plantas por día</v>
      </c>
    </row>
    <row r="12" spans="1:5" ht="31.5" customHeight="1" x14ac:dyDescent="0.25">
      <c r="A12" s="49" t="s">
        <v>158</v>
      </c>
      <c r="B12" s="50">
        <f>SUM(Deshije)</f>
        <v>0</v>
      </c>
      <c r="C12" s="52">
        <f>B12*Jornal</f>
        <v>0</v>
      </c>
      <c r="D12" s="94">
        <f>SUMIF(Detalle_Ex,"Deshije",Valor_Ex)</f>
        <v>0</v>
      </c>
      <c r="E12" s="100" t="str">
        <f>CONCATENATE('Eficiencias &amp; Configuración'!B5," ",'Eficiencias &amp; Configuración'!C5)</f>
        <v>500 plantas por día</v>
      </c>
    </row>
    <row r="13" spans="1:5" ht="31.5" customHeight="1" x14ac:dyDescent="0.25">
      <c r="A13" s="57" t="s">
        <v>8</v>
      </c>
      <c r="B13" s="58" t="s">
        <v>57</v>
      </c>
      <c r="C13" s="57"/>
      <c r="D13" s="95"/>
      <c r="E13" s="57"/>
    </row>
    <row r="14" spans="1:5" ht="31.5" customHeight="1" x14ac:dyDescent="0.25">
      <c r="A14" s="49" t="s">
        <v>159</v>
      </c>
      <c r="B14" s="50">
        <f>SUM(MO_Nutrición)</f>
        <v>0</v>
      </c>
      <c r="C14" s="52">
        <f>B14*Jornal</f>
        <v>0</v>
      </c>
      <c r="D14" s="94">
        <f>SUMIF(Detalle_Ex,"Aplicación de fertilizante",Valor_Ex)</f>
        <v>0</v>
      </c>
      <c r="E14" s="100" t="str">
        <f>CONCATENATE('Eficiencias &amp; Configuración'!B6," ",'Eficiencias &amp; Configuración'!C6)</f>
        <v>8 Quintales por jornal</v>
      </c>
    </row>
    <row r="15" spans="1:5" ht="31.5" customHeight="1" x14ac:dyDescent="0.25">
      <c r="A15" s="49" t="s">
        <v>63</v>
      </c>
      <c r="B15" s="59">
        <f>SUM(Quintales_Fertilizante)</f>
        <v>0</v>
      </c>
      <c r="C15" s="52">
        <f>B15*Costo_Fertilizante</f>
        <v>0</v>
      </c>
      <c r="D15" s="94">
        <f>SUMIF(Detalle_Ex,"Compra de fertilizante",Valor_Ex)</f>
        <v>0</v>
      </c>
      <c r="E15" s="100" t="str">
        <f>CONCATENATE("Costo por quintal Q. ",'Eficiencias &amp; Configuración'!B7,"| ",'Eficiencias &amp; Configuración'!B9,"-",'Eficiencias &amp; Configuración'!B10,"-",'Eficiencias &amp; Configuración'!B11)</f>
        <v>Costo por quintal Q. 260| 22-4-18</v>
      </c>
    </row>
    <row r="16" spans="1:5" ht="31.5" customHeight="1" x14ac:dyDescent="0.3">
      <c r="A16" s="60" t="s">
        <v>61</v>
      </c>
      <c r="B16" s="49"/>
      <c r="E16" s="61"/>
    </row>
    <row r="17" spans="1:12" ht="31.5" customHeight="1" x14ac:dyDescent="0.3">
      <c r="A17" s="62" t="s">
        <v>59</v>
      </c>
      <c r="B17" s="63">
        <f>SUM(Fertilizante_Crecimiento)</f>
        <v>0</v>
      </c>
      <c r="C17" s="64">
        <f>B17*Costo_Fertilizante</f>
        <v>0</v>
      </c>
      <c r="E17" s="101"/>
      <c r="K17" s="6"/>
      <c r="L17" s="6"/>
    </row>
    <row r="18" spans="1:12" ht="31.5" customHeight="1" x14ac:dyDescent="0.3">
      <c r="A18" s="62" t="s">
        <v>60</v>
      </c>
      <c r="B18" s="63">
        <f>SUM(Fertilizante_CyP)</f>
        <v>0</v>
      </c>
      <c r="C18" s="64">
        <f>B18*Costo_Fertilizante</f>
        <v>0</v>
      </c>
      <c r="E18" s="101"/>
      <c r="K18" s="6"/>
      <c r="L18" s="6"/>
    </row>
    <row r="19" spans="1:12" ht="31.5" customHeight="1" x14ac:dyDescent="0.3">
      <c r="A19" s="62" t="s">
        <v>62</v>
      </c>
      <c r="B19" s="63">
        <f>SUM(Fertilizante_Produccion)</f>
        <v>0</v>
      </c>
      <c r="C19" s="64">
        <f>B19*Costo_Fertilizante</f>
        <v>0</v>
      </c>
      <c r="E19" s="101"/>
      <c r="K19" s="6"/>
      <c r="L19" s="6"/>
    </row>
    <row r="20" spans="1:12" ht="31.5" customHeight="1" x14ac:dyDescent="0.3">
      <c r="A20" s="65" t="s">
        <v>9</v>
      </c>
      <c r="B20" s="66" t="s">
        <v>57</v>
      </c>
      <c r="C20" s="102"/>
      <c r="D20" s="95"/>
      <c r="E20" s="102"/>
    </row>
    <row r="21" spans="1:12" ht="31.5" customHeight="1" x14ac:dyDescent="0.25">
      <c r="A21" s="49" t="s">
        <v>10</v>
      </c>
      <c r="B21" s="59">
        <f>SUM(Litros_Herbicida)</f>
        <v>0</v>
      </c>
      <c r="C21" s="52">
        <f>B21*Costo_Herbicida</f>
        <v>0</v>
      </c>
      <c r="D21" s="94">
        <f>SUMIF(Detalle_Ex,"Compra de herbicida",Valor_Ex)</f>
        <v>0</v>
      </c>
      <c r="E21" s="100" t="str">
        <f>CONCATENATE('Eficiencias &amp; Configuración'!B12," litros por año")</f>
        <v>3 litros por año</v>
      </c>
    </row>
    <row r="22" spans="1:12" ht="31.5" customHeight="1" x14ac:dyDescent="0.25">
      <c r="A22" s="49" t="s">
        <v>160</v>
      </c>
      <c r="B22" s="59">
        <f>SUM(MO_Malezas_Quimico)</f>
        <v>0</v>
      </c>
      <c r="C22" s="52">
        <f>B22*Jornal</f>
        <v>0</v>
      </c>
      <c r="D22" s="94">
        <f>SUMIF(Detalle_Ex,"Aplicación de herbicida",Valor_Ex)</f>
        <v>0</v>
      </c>
      <c r="E22" s="100" t="str">
        <f>CONCATENATE('Eficiencias &amp; Configuración'!B15," ",'Eficiencias &amp; Configuración'!C15," | ",'Eficiencias &amp; Configuración'!B14," aplicaciones")</f>
        <v>1 Jornales por Ha. | 4 aplicaciones</v>
      </c>
    </row>
    <row r="23" spans="1:12" ht="31.5" customHeight="1" x14ac:dyDescent="0.3">
      <c r="A23" s="65" t="s">
        <v>64</v>
      </c>
      <c r="B23" s="66" t="s">
        <v>57</v>
      </c>
      <c r="C23" s="102"/>
      <c r="D23" s="95"/>
      <c r="E23" s="102"/>
    </row>
    <row r="24" spans="1:12" ht="31.5" customHeight="1" x14ac:dyDescent="0.25">
      <c r="A24" s="49" t="s">
        <v>12</v>
      </c>
      <c r="B24" s="59">
        <f>SUM(Fungicida)</f>
        <v>0</v>
      </c>
      <c r="C24" s="52">
        <f>B24*Costo_Fungicida</f>
        <v>0</v>
      </c>
      <c r="D24" s="94">
        <f>SUMIF(Detalle_Ex,"Compra de fungicida",Valor_Ex)</f>
        <v>0</v>
      </c>
      <c r="E24" s="100" t="str">
        <f>CONCATENATE('Eficiencias &amp; Configuración'!B17," ",'Eficiencias &amp; Configuración'!C17,"|",'Eficiencias &amp; Configuración'!B18," aplicaciones")</f>
        <v>750 cc por Ha.|3 aplicaciones</v>
      </c>
    </row>
    <row r="25" spans="1:12" ht="31.5" customHeight="1" x14ac:dyDescent="0.25">
      <c r="A25" s="49" t="s">
        <v>161</v>
      </c>
      <c r="B25" s="59">
        <f>SUM(MO_Enfermedades_Prod.,MO_Enfermedades_Crec.)</f>
        <v>0</v>
      </c>
      <c r="C25" s="52">
        <f>B25*Jornal</f>
        <v>0</v>
      </c>
      <c r="D25" s="94">
        <f>SUMIF(Detalle_Ex,"Aplicación de fungicida",Valor_Ex)</f>
        <v>0</v>
      </c>
      <c r="E25" s="100" t="str">
        <f>CONCATENATE('Eficiencias &amp; Configuración'!B19," ",'Eficiencias &amp; Configuración'!C19," | ",'Eficiencias &amp; Configuración'!B17," aplicaciones")</f>
        <v>2.25 Litro por Ha. | 750 aplicaciones</v>
      </c>
    </row>
    <row r="26" spans="1:12" ht="31.5" customHeight="1" x14ac:dyDescent="0.3">
      <c r="A26" s="62" t="s">
        <v>162</v>
      </c>
      <c r="B26" s="59">
        <f>SUM(MO_Enfermedades_Prod.)</f>
        <v>0</v>
      </c>
      <c r="C26" s="64">
        <f>B26*Jornal</f>
        <v>0</v>
      </c>
      <c r="E26" s="103" t="str">
        <f>CONCATENATE('Eficiencias &amp; Configuración'!B21," ",'Eficiencias &amp; Configuración'!C21," | ",'Eficiencias &amp; Configuración'!B18," aplicaciones")</f>
        <v>0.3 Jornales por Ha. | 3 aplicaciones</v>
      </c>
    </row>
    <row r="27" spans="1:12" ht="31.5" customHeight="1" x14ac:dyDescent="0.3">
      <c r="A27" s="62" t="s">
        <v>163</v>
      </c>
      <c r="B27" s="59">
        <f>SUM(MO_Enfermedades_Crec.)</f>
        <v>0</v>
      </c>
      <c r="C27" s="64">
        <f>B27*Jornal</f>
        <v>0</v>
      </c>
      <c r="E27" s="103" t="str">
        <f>CONCATENATE('Eficiencias &amp; Configuración'!B22," ",'Eficiencias &amp; Configuración'!C22," | ",'Eficiencias &amp; Configuración'!B18," aplicaciones")</f>
        <v>1 Jornales por Ha. | 3 aplicaciones</v>
      </c>
    </row>
    <row r="28" spans="1:12" ht="31.5" customHeight="1" x14ac:dyDescent="0.25">
      <c r="A28" s="49" t="s">
        <v>167</v>
      </c>
      <c r="B28" s="59">
        <f>SUM(MO_Plagas)</f>
        <v>0</v>
      </c>
      <c r="C28" s="52">
        <f>B28*Jornal</f>
        <v>0</v>
      </c>
      <c r="D28" s="94">
        <f>SUMIF(Detalle_Ex,"Manejo de plagas",Valor_Ex)</f>
        <v>0</v>
      </c>
      <c r="E28" s="100" t="str">
        <f>CONCATENATE('Eficiencias &amp; Configuración'!B16," ",'Eficiencias &amp; Configuración'!C16)</f>
        <v>1 Jornales por Ha.</v>
      </c>
    </row>
    <row r="29" spans="1:12" ht="31.5" customHeight="1" x14ac:dyDescent="0.3">
      <c r="A29" s="65" t="s">
        <v>166</v>
      </c>
      <c r="B29" s="66"/>
      <c r="C29" s="102"/>
      <c r="D29" s="95"/>
      <c r="E29" s="102"/>
    </row>
    <row r="30" spans="1:12" ht="31.5" customHeight="1" x14ac:dyDescent="0.25">
      <c r="A30" s="49" t="s">
        <v>164</v>
      </c>
      <c r="B30" s="59">
        <f>SUM(Jornales)</f>
        <v>0</v>
      </c>
      <c r="C30" s="52">
        <f>C10+C11+C12+C14+C22+C25+C28</f>
        <v>0</v>
      </c>
      <c r="D30" s="97">
        <f>D10+D11+D12+D14+D22+D25+D28</f>
        <v>0</v>
      </c>
      <c r="E30" s="68"/>
    </row>
    <row r="31" spans="1:12" ht="31.5" customHeight="1" x14ac:dyDescent="0.25">
      <c r="A31" s="49" t="s">
        <v>165</v>
      </c>
      <c r="B31" s="59"/>
      <c r="C31" s="52">
        <f>C15+C21+C24</f>
        <v>0</v>
      </c>
      <c r="D31" s="97">
        <f>D15+D21+D24</f>
        <v>0</v>
      </c>
      <c r="E31" s="67"/>
    </row>
    <row r="32" spans="1:12" ht="31.5" customHeight="1" x14ac:dyDescent="0.3">
      <c r="A32" s="65" t="s">
        <v>44</v>
      </c>
      <c r="B32" s="66"/>
      <c r="C32" s="102"/>
      <c r="D32" s="95"/>
      <c r="E32" s="102"/>
    </row>
    <row r="33" spans="1:5" ht="31.5" customHeight="1" x14ac:dyDescent="0.25">
      <c r="A33" s="49" t="s">
        <v>67</v>
      </c>
      <c r="B33" s="59">
        <f>SUM(Producción)</f>
        <v>0</v>
      </c>
      <c r="C33" s="52">
        <f>SUM(Cosecha)</f>
        <v>0</v>
      </c>
      <c r="D33" s="94">
        <f>SUMIF(Detalle_Ex,"Corte",Valor_Ex)</f>
        <v>0</v>
      </c>
      <c r="E33" s="100" t="str">
        <f>CONCATENATE("Q.",'Eficiencias &amp; Configuración'!B24," ","por qq. Cereza")</f>
        <v>Q.65 por qq. Cereza</v>
      </c>
    </row>
    <row r="34" spans="1:5" ht="31.5" customHeight="1" x14ac:dyDescent="0.25">
      <c r="A34" s="49" t="s">
        <v>68</v>
      </c>
      <c r="B34" s="59">
        <f>B33/5</f>
        <v>0</v>
      </c>
      <c r="C34" s="52">
        <f>SUM(Poscosecha)</f>
        <v>0</v>
      </c>
      <c r="D34" s="94">
        <f>SUMIF(Detalle_Ex,"Poscosecha",Valor_Ex)</f>
        <v>0</v>
      </c>
      <c r="E34" s="100" t="str">
        <f>CONCATENATE("Q.",'Eficiencias &amp; Configuración'!B25," ","por qq. Pergo")</f>
        <v>Q.75 por qq. Pergo</v>
      </c>
    </row>
    <row r="35" spans="1:5" ht="31.5" customHeight="1" x14ac:dyDescent="0.3">
      <c r="A35" s="65" t="s">
        <v>16</v>
      </c>
      <c r="B35" s="66"/>
      <c r="C35" s="102"/>
      <c r="D35" s="95"/>
      <c r="E35" s="102"/>
    </row>
    <row r="36" spans="1:5" ht="31.5" customHeight="1" x14ac:dyDescent="0.25">
      <c r="A36" s="49" t="s">
        <v>150</v>
      </c>
      <c r="B36" s="49"/>
      <c r="C36" s="51">
        <f>(Gastos_Administrativos)</f>
        <v>500</v>
      </c>
      <c r="D36" s="94">
        <f>SUMIF(Actividad_Ex,"Administrativos",Valor_Ex)</f>
        <v>0</v>
      </c>
      <c r="E36" s="100" t="s">
        <v>151</v>
      </c>
    </row>
    <row r="37" spans="1:5" ht="31.5" customHeight="1" x14ac:dyDescent="0.3">
      <c r="A37" s="53" t="s">
        <v>17</v>
      </c>
      <c r="B37" s="53"/>
      <c r="C37" s="55">
        <f>C30+C31+C33+C34+C36</f>
        <v>500</v>
      </c>
      <c r="D37" s="96">
        <f>D36+D34+D33+D30+D31</f>
        <v>0</v>
      </c>
      <c r="E37" s="53"/>
    </row>
    <row r="38" spans="1:5" ht="31.5" customHeight="1" x14ac:dyDescent="0.3">
      <c r="A38" s="69" t="str">
        <f>IF(C38&gt;0,"Utilidad","Pérdida")</f>
        <v>Pérdida</v>
      </c>
      <c r="B38" s="69"/>
      <c r="C38" s="70">
        <f>C8-C37</f>
        <v>-500</v>
      </c>
      <c r="D38" s="98">
        <f>D8-D37</f>
        <v>0</v>
      </c>
    </row>
  </sheetData>
  <sheetProtection algorithmName="SHA-512" hashValue="9js3bwVjaknzUOSQ0wFAuXcPh3MT4CF6MjRawo3bmqIzvAWSKZQFbEW98U7Kr8u6ZqlB3yv5OLmmPJmSzLhaQg==" saltValue="b0Qz7VaVneULyAVEkYJ1Hg==" spinCount="100000" sheet="1" objects="1" scenarios="1"/>
  <mergeCells count="2">
    <mergeCell ref="A1:E1"/>
    <mergeCell ref="A2:D2"/>
  </mergeCells>
  <hyperlinks>
    <hyperlink ref="E5" location="'Eficiencias &amp; Configuración'!D25" display="'Eficiencias &amp; Configuración'!D25" xr:uid="{D057D436-853E-4991-BF91-46CE7F9932F7}"/>
    <hyperlink ref="E6" location="'Eficiencias &amp; Configuración'!D26" display="'Eficiencias &amp; Configuración'!D26" xr:uid="{2CF185BA-CCCA-4EC4-A465-549EEC25DB68}"/>
    <hyperlink ref="E7" location="'Eficiencias &amp; Configuración'!D27" display="'Eficiencias &amp; Configuración'!D27" xr:uid="{F0F537F0-02F6-4B13-9E31-5D9B5A457B1E}"/>
    <hyperlink ref="C36" location="'Eficiencias &amp; Configuración'!D30" display="'Eficiencias &amp; Configuración'!D30" xr:uid="{F9B94763-39A2-442B-ADC5-443AB7DC2F38}"/>
    <hyperlink ref="E2" location="'Eficiencias &amp; Configuración'!D2" display="'Eficiencias &amp; Configuración'!D2" xr:uid="{2F3B7006-B333-4CF9-8630-8F2A7F8468A2}"/>
    <hyperlink ref="D36:E36" location="'Eficiencias &amp; Configuración'!A41" display="Detalle Gastos Administrativos" xr:uid="{1F08DAA5-9511-4D11-B571-602AE22854FD}"/>
    <hyperlink ref="D27:E27" location="'Eficiencias &amp; Configuración'!B21" display="'Eficiencias &amp; Configuración'!B21" xr:uid="{BE67A662-99AF-40A4-97D8-664EC2E488BA}"/>
    <hyperlink ref="D26:E26" location="'Eficiencias &amp; Configuración'!B20" display="'Eficiencias &amp; Configuración'!B20" xr:uid="{3A34B30F-6975-4B08-9BBF-843F479B6B71}"/>
  </hyperlinks>
  <pageMargins left="0.7" right="0.7" top="0.75" bottom="0.75" header="0.3" footer="0.3"/>
  <pageSetup scale="5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C5CA6-2F06-4B83-B2D6-F5DA20A5B112}">
  <sheetPr codeName="Hoja2">
    <pageSetUpPr fitToPage="1"/>
  </sheetPr>
  <dimension ref="A1:K37"/>
  <sheetViews>
    <sheetView showGridLines="0" showRowColHeaders="0" zoomScale="55" zoomScaleNormal="55" workbookViewId="0">
      <pane ySplit="3" topLeftCell="A5" activePane="bottomLeft" state="frozen"/>
      <selection pane="bottomLeft" activeCell="A2" sqref="A2"/>
    </sheetView>
  </sheetViews>
  <sheetFormatPr baseColWidth="10" defaultRowHeight="13.5" x14ac:dyDescent="0.25"/>
  <cols>
    <col min="1" max="1" width="55.83203125" customWidth="1"/>
    <col min="2" max="2" width="29.4140625" customWidth="1"/>
    <col min="3" max="3" width="29.83203125" customWidth="1"/>
    <col min="4" max="4" width="44.5" customWidth="1"/>
  </cols>
  <sheetData>
    <row r="1" spans="1:11" ht="38" customHeight="1" thickBot="1" x14ac:dyDescent="0.3">
      <c r="A1" s="106" t="s">
        <v>250</v>
      </c>
      <c r="B1" s="106"/>
      <c r="C1" s="106"/>
      <c r="D1" s="106"/>
    </row>
    <row r="2" spans="1:11" ht="35" customHeight="1" x14ac:dyDescent="0.3">
      <c r="A2" s="48" t="s">
        <v>90</v>
      </c>
      <c r="B2" s="71" t="str" cm="1">
        <f t="array" ref="B2">CONCATENATE("Área : ",_xlfn.XLOOKUP(Detalle_Lote,Lotes,Áreas)," ",UM," | ","Ciclo ",Ciclo,"|",_xlfn.XLOOKUP(Detalle_Lote,Lotes,Diseños)," | ",_xlfn.XLOOKUP(Detalle_Lote,Datos!A:A,Porcentaje_Efectivo*100),"% Efectivo de plantas | Año ",_xlfn.XLOOKUP(Detalle_Lote,Datos!A:A,Datos!G:G)," con RS |")</f>
        <v>Área : 0 Hectárea | Ciclo _3_años| | 0% Efectivo de plantas | Año  con RS |</v>
      </c>
      <c r="C2" s="71"/>
      <c r="D2" s="72" t="str">
        <f>CONCATENATE("Jornal. Q.",'Eficiencias &amp; Configuración'!B$2)</f>
        <v>Jornal. Q.100</v>
      </c>
    </row>
    <row r="3" spans="1:11" ht="35" customHeight="1" x14ac:dyDescent="0.3">
      <c r="A3" s="13" t="s">
        <v>18</v>
      </c>
      <c r="B3" s="19" t="s">
        <v>155</v>
      </c>
      <c r="C3" s="19" t="s">
        <v>287</v>
      </c>
      <c r="D3" s="13" t="s">
        <v>285</v>
      </c>
    </row>
    <row r="4" spans="1:11" ht="26" customHeight="1" x14ac:dyDescent="0.25">
      <c r="A4" s="49" t="s">
        <v>69</v>
      </c>
      <c r="B4" s="50">
        <f>_xlfn.XLOOKUP(Detalle_Lote,Lotes,Producción)*0.9</f>
        <v>0</v>
      </c>
      <c r="C4" s="52">
        <f>B4*D4</f>
        <v>0</v>
      </c>
      <c r="D4" s="51">
        <f>Precio_Venta_Primera</f>
        <v>125</v>
      </c>
    </row>
    <row r="5" spans="1:11" ht="26" customHeight="1" x14ac:dyDescent="0.25">
      <c r="A5" s="49" t="s">
        <v>70</v>
      </c>
      <c r="B5" s="50">
        <f>_xlfn.XLOOKUP(Detalle_Lote,Lotes,Producción)*0.07</f>
        <v>0</v>
      </c>
      <c r="C5" s="52">
        <f>B5*D5</f>
        <v>0</v>
      </c>
      <c r="D5" s="51">
        <f>Precio_Venta_Segunda</f>
        <v>95</v>
      </c>
    </row>
    <row r="6" spans="1:11" ht="26" customHeight="1" x14ac:dyDescent="0.25">
      <c r="A6" s="49" t="s">
        <v>71</v>
      </c>
      <c r="B6" s="50">
        <f>_xlfn.XLOOKUP(Detalle_Lote,Lotes,Producción)*0.03</f>
        <v>0</v>
      </c>
      <c r="C6" s="52">
        <f>B6*D6</f>
        <v>0</v>
      </c>
      <c r="D6" s="51">
        <f>Precio_Venta_Inferior</f>
        <v>45</v>
      </c>
    </row>
    <row r="7" spans="1:11" ht="26" customHeight="1" x14ac:dyDescent="0.3">
      <c r="A7" s="53" t="s">
        <v>72</v>
      </c>
      <c r="B7" s="54">
        <f>SUM(B4:B6)</f>
        <v>0</v>
      </c>
      <c r="C7" s="55">
        <f>SUM(C4:C6)</f>
        <v>0</v>
      </c>
      <c r="D7" s="56"/>
    </row>
    <row r="8" spans="1:11" ht="25.5" customHeight="1" x14ac:dyDescent="0.25">
      <c r="A8" s="57" t="s">
        <v>272</v>
      </c>
      <c r="B8" s="58" t="s">
        <v>155</v>
      </c>
      <c r="C8" s="57"/>
      <c r="D8" s="57"/>
    </row>
    <row r="9" spans="1:11" ht="22" customHeight="1" x14ac:dyDescent="0.25">
      <c r="A9" s="49" t="s">
        <v>156</v>
      </c>
      <c r="B9" s="59">
        <f>_xlfn.XLOOKUP(Detalle_Lote,Lotes,Poda)</f>
        <v>0</v>
      </c>
      <c r="C9" s="52">
        <f>B9*Jornal</f>
        <v>0</v>
      </c>
      <c r="D9" s="100" t="str">
        <f>CONCATENATE('Eficiencias &amp; Configuración'!B3," ",'Eficiencias &amp; Configuración'!C3)</f>
        <v>1500 plantas por día</v>
      </c>
    </row>
    <row r="10" spans="1:11" ht="22" customHeight="1" x14ac:dyDescent="0.25">
      <c r="A10" s="49" t="s">
        <v>157</v>
      </c>
      <c r="B10" s="59">
        <f>_xlfn.XLOOKUP(Detalle_Lote,Lotes,Paliativo)</f>
        <v>0</v>
      </c>
      <c r="C10" s="52">
        <f>B10*Jornal</f>
        <v>0</v>
      </c>
      <c r="D10" s="100" t="str">
        <f>CONCATENATE('Eficiencias &amp; Configuración'!B4," ",'Eficiencias &amp; Configuración'!C4)</f>
        <v>1200 plantas por día</v>
      </c>
    </row>
    <row r="11" spans="1:11" ht="22" customHeight="1" x14ac:dyDescent="0.25">
      <c r="A11" s="49" t="s">
        <v>158</v>
      </c>
      <c r="B11" s="59">
        <f>_xlfn.XLOOKUP(Detalle_Lote,Lotes,Deshije)</f>
        <v>0</v>
      </c>
      <c r="C11" s="52">
        <f>B11*Jornal</f>
        <v>0</v>
      </c>
      <c r="D11" s="100" t="str">
        <f>CONCATENATE('Eficiencias &amp; Configuración'!B5," ",'Eficiencias &amp; Configuración'!C5)</f>
        <v>500 plantas por día</v>
      </c>
    </row>
    <row r="12" spans="1:11" ht="25.5" customHeight="1" x14ac:dyDescent="0.25">
      <c r="A12" s="57" t="s">
        <v>8</v>
      </c>
      <c r="B12" s="58" t="s">
        <v>57</v>
      </c>
      <c r="C12" s="57"/>
      <c r="D12" s="57"/>
    </row>
    <row r="13" spans="1:11" ht="22" customHeight="1" x14ac:dyDescent="0.25">
      <c r="A13" s="49" t="s">
        <v>159</v>
      </c>
      <c r="B13" s="59">
        <f>_xlfn.XLOOKUP(Detalle_Lote,Lotes,MO_Nutrición)</f>
        <v>0</v>
      </c>
      <c r="C13" s="52">
        <f>B13*Jornal</f>
        <v>0</v>
      </c>
      <c r="D13" s="100" t="str">
        <f>CONCATENATE('Eficiencias &amp; Configuración'!B6," ",'Eficiencias &amp; Configuración'!C6)</f>
        <v>8 Quintales por jornal</v>
      </c>
    </row>
    <row r="14" spans="1:11" ht="22" customHeight="1" x14ac:dyDescent="0.25">
      <c r="A14" s="49" t="s">
        <v>63</v>
      </c>
      <c r="B14" s="59">
        <f>_xlfn.XLOOKUP(Detalle_Lote,Lotes,Quintales_Fertilizante)</f>
        <v>0</v>
      </c>
      <c r="C14" s="52">
        <f>B14*Costo_Fertilizante</f>
        <v>0</v>
      </c>
      <c r="D14" s="100" t="str">
        <f>CONCATENATE("Costo por quintal Q. ",'Eficiencias &amp; Configuración'!B7,"| ",'Eficiencias &amp; Configuración'!B9,"-",'Eficiencias &amp; Configuración'!B10,"-",'Eficiencias &amp; Configuración'!B11)</f>
        <v>Costo por quintal Q. 260| 22-4-18</v>
      </c>
    </row>
    <row r="15" spans="1:11" ht="22" customHeight="1" x14ac:dyDescent="0.3">
      <c r="A15" s="60" t="s">
        <v>61</v>
      </c>
      <c r="B15" s="49"/>
      <c r="C15" s="52"/>
      <c r="D15" s="61"/>
    </row>
    <row r="16" spans="1:11" ht="22" customHeight="1" x14ac:dyDescent="0.3">
      <c r="A16" s="62" t="s">
        <v>59</v>
      </c>
      <c r="B16" s="63">
        <f>_xlfn.XLOOKUP(Detalle_Lote,Lotes,Fertilizante_Crecimiento)</f>
        <v>0</v>
      </c>
      <c r="C16" s="64">
        <f>B16*Costo_Fertilizante</f>
        <v>0</v>
      </c>
      <c r="D16" s="101" t="str">
        <f>CONCATENATE(ROUND(_xlfn.XLOOKUP(Detalle_Lote,Lotes,Onzas_Anual_SC),2)," Oz por año | ",ROUND(_xlfn.XLOOKUP(Detalle_Lote,Lotes,Dosis_SC),2)," Oz por Aplicación")</f>
        <v>0 Oz por año | 0 Oz por Aplicación</v>
      </c>
      <c r="J16" s="6"/>
      <c r="K16" s="6"/>
    </row>
    <row r="17" spans="1:11" ht="22" customHeight="1" x14ac:dyDescent="0.3">
      <c r="A17" s="62" t="s">
        <v>60</v>
      </c>
      <c r="B17" s="63">
        <f>_xlfn.XLOOKUP(Detalle_Lote,Lotes,Fertilizante_CyP)</f>
        <v>0</v>
      </c>
      <c r="C17" s="64">
        <f>B17*Costo_Fertilizante</f>
        <v>0</v>
      </c>
      <c r="D17" s="101" t="str">
        <f>CONCATENATE(ROUND(_xlfn.XLOOKUP(Detalle_Lote,Lotes,Onzas_Anual_CYP),2)," Oz por año | ",ROUND(_xlfn.XLOOKUP(Detalle_Lote,Lotes,Dosis_CYP),2)," Oz por Aplicación")</f>
        <v>0 Oz por año | 0 Oz por Aplicación</v>
      </c>
      <c r="J17" s="6"/>
      <c r="K17" s="6"/>
    </row>
    <row r="18" spans="1:11" ht="22" customHeight="1" x14ac:dyDescent="0.3">
      <c r="A18" s="62" t="s">
        <v>62</v>
      </c>
      <c r="B18" s="63">
        <f>_xlfn.XLOOKUP(Detalle_Lote,Lotes,Fertilizante_Produccion)</f>
        <v>0</v>
      </c>
      <c r="C18" s="64">
        <f>B18*Costo_Fertilizante</f>
        <v>0</v>
      </c>
      <c r="D18" s="101" t="str">
        <f>CONCATENATE(ROUND(_xlfn.XLOOKUP(Detalle_Lote,Lotes,Onzas_Anual_SP),2)," Oz por año | ",ROUND(_xlfn.XLOOKUP(Detalle_Lote,Lotes,Dosis_SP),2)," Oz por Aplicación")</f>
        <v>0 Oz por año | 0 Oz por Aplicación</v>
      </c>
      <c r="J18" s="6"/>
      <c r="K18" s="6"/>
    </row>
    <row r="19" spans="1:11" ht="25.5" customHeight="1" x14ac:dyDescent="0.3">
      <c r="A19" s="65" t="s">
        <v>9</v>
      </c>
      <c r="B19" s="66" t="s">
        <v>57</v>
      </c>
      <c r="C19" s="102"/>
      <c r="D19" s="102"/>
    </row>
    <row r="20" spans="1:11" ht="22" customHeight="1" x14ac:dyDescent="0.25">
      <c r="A20" s="49" t="s">
        <v>10</v>
      </c>
      <c r="B20" s="59">
        <f>_xlfn.XLOOKUP(Detalle_Lote,Lotes,Litros_Herbicida)</f>
        <v>0</v>
      </c>
      <c r="C20" s="52">
        <f>B20*Costo_Herbicida</f>
        <v>0</v>
      </c>
      <c r="D20" s="100" t="str">
        <f>CONCATENATE('Eficiencias &amp; Configuración'!B12," litros por año")</f>
        <v>3 litros por año</v>
      </c>
    </row>
    <row r="21" spans="1:11" ht="22" customHeight="1" x14ac:dyDescent="0.25">
      <c r="A21" s="49" t="s">
        <v>160</v>
      </c>
      <c r="B21" s="59">
        <f>_xlfn.XLOOKUP(Detalle_Lote,Lotes,MO_Malezas_Quimico)</f>
        <v>0</v>
      </c>
      <c r="C21" s="52">
        <f>B21*Jornal</f>
        <v>0</v>
      </c>
      <c r="D21" s="100" t="str">
        <f>CONCATENATE('Eficiencias &amp; Configuración'!B15," ",'Eficiencias &amp; Configuración'!C15," | ",'Eficiencias &amp; Configuración'!B14," aplicaciones")</f>
        <v>1 Jornales por Ha. | 4 aplicaciones</v>
      </c>
    </row>
    <row r="22" spans="1:11" ht="25.5" customHeight="1" x14ac:dyDescent="0.3">
      <c r="A22" s="65" t="s">
        <v>64</v>
      </c>
      <c r="B22" s="66" t="s">
        <v>57</v>
      </c>
      <c r="C22" s="102"/>
      <c r="D22" s="102"/>
    </row>
    <row r="23" spans="1:11" ht="21" customHeight="1" x14ac:dyDescent="0.25">
      <c r="A23" s="49" t="s">
        <v>12</v>
      </c>
      <c r="B23" s="59">
        <f>_xlfn.XLOOKUP(Detalle_Lote,Lotes,Fungicida)</f>
        <v>0</v>
      </c>
      <c r="C23" s="52">
        <f>B23*Costo_Fungicida</f>
        <v>0</v>
      </c>
      <c r="D23" s="100" t="str">
        <f>CONCATENATE('Eficiencias &amp; Configuración'!B17," ",'Eficiencias &amp; Configuración'!C17,"|",'Eficiencias &amp; Configuración'!B18," aplicaciones")</f>
        <v>750 cc por Ha.|3 aplicaciones</v>
      </c>
    </row>
    <row r="24" spans="1:11" ht="21" customHeight="1" x14ac:dyDescent="0.25">
      <c r="A24" s="49" t="s">
        <v>161</v>
      </c>
      <c r="B24" s="59">
        <f>_xlfn.XLOOKUP(Detalle_Lote,Lotes,MO_Enfermedades_Prod.)+_xlfn.XLOOKUP(Detalle_Lote,Lotes,MO_Enfermedades_Crec.)</f>
        <v>0</v>
      </c>
      <c r="C24" s="52">
        <f>B24*Jornal</f>
        <v>0</v>
      </c>
      <c r="D24" s="100" t="str">
        <f>CONCATENATE('Eficiencias &amp; Configuración'!B19," ",'Eficiencias &amp; Configuración'!C19," | ",'Eficiencias &amp; Configuración'!B17," aplicaciones")</f>
        <v>2.25 Litro por Ha. | 750 aplicaciones</v>
      </c>
    </row>
    <row r="25" spans="1:11" ht="21" customHeight="1" x14ac:dyDescent="0.3">
      <c r="A25" s="62" t="s">
        <v>162</v>
      </c>
      <c r="B25" s="63">
        <f>_xlfn.XLOOKUP(Detalle_Lote,Lotes,MO_Enfermedades_Crec.)</f>
        <v>0</v>
      </c>
      <c r="C25" s="64">
        <f>B25*Jornal</f>
        <v>0</v>
      </c>
      <c r="D25" s="103" t="str">
        <f>CONCATENATE('Eficiencias &amp; Configuración'!B21," ",'Eficiencias &amp; Configuración'!C21," | ",'Eficiencias &amp; Configuración'!B18," aplicaciones")</f>
        <v>0.3 Jornales por Ha. | 3 aplicaciones</v>
      </c>
    </row>
    <row r="26" spans="1:11" ht="21" customHeight="1" x14ac:dyDescent="0.3">
      <c r="A26" s="62" t="s">
        <v>163</v>
      </c>
      <c r="B26" s="63">
        <f>_xlfn.XLOOKUP(Detalle_Lote,Lotes,MO_Enfermedades_Prod.)</f>
        <v>0</v>
      </c>
      <c r="C26" s="64">
        <f>B26*Jornal</f>
        <v>0</v>
      </c>
      <c r="D26" s="103" t="str">
        <f>CONCATENATE('Eficiencias &amp; Configuración'!B22," ",'Eficiencias &amp; Configuración'!C22," | ",'Eficiencias &amp; Configuración'!B18," aplicaciones")</f>
        <v>1 Jornales por Ha. | 3 aplicaciones</v>
      </c>
    </row>
    <row r="27" spans="1:11" ht="21.5" customHeight="1" x14ac:dyDescent="0.25">
      <c r="A27" s="49" t="s">
        <v>167</v>
      </c>
      <c r="B27" s="59">
        <f>_xlfn.XLOOKUP(Detalle_Lote,Lotes,MO_Plagas)</f>
        <v>0</v>
      </c>
      <c r="C27" s="52">
        <f>B27*Jornal</f>
        <v>0</v>
      </c>
      <c r="D27" s="100" t="str">
        <f>CONCATENATE('Eficiencias &amp; Configuración'!B16," ",'Eficiencias &amp; Configuración'!C16)</f>
        <v>1 Jornales por Ha.</v>
      </c>
    </row>
    <row r="28" spans="1:11" ht="25.5" customHeight="1" x14ac:dyDescent="0.3">
      <c r="A28" s="65" t="s">
        <v>166</v>
      </c>
      <c r="B28" s="66"/>
      <c r="C28" s="102"/>
      <c r="D28" s="102"/>
    </row>
    <row r="29" spans="1:11" ht="20.5" customHeight="1" x14ac:dyDescent="0.25">
      <c r="A29" s="49" t="s">
        <v>164</v>
      </c>
      <c r="B29" s="59">
        <f>_xlfn.XLOOKUP(Detalle_Lote,Lotes,Jornales)</f>
        <v>0</v>
      </c>
      <c r="C29" s="52">
        <f>C9+C10+C11+C13+C21+C24+C27</f>
        <v>0</v>
      </c>
      <c r="D29" s="68" t="e">
        <f>CONCATENATE((ROUND(B29/_xlfn.XLOOKUP(Detalle_Lote,Lotes,Áreas),1)), " Jornales por ",UM)</f>
        <v>#DIV/0!</v>
      </c>
    </row>
    <row r="30" spans="1:11" ht="20.5" customHeight="1" x14ac:dyDescent="0.25">
      <c r="A30" s="49" t="s">
        <v>165</v>
      </c>
      <c r="B30" s="59"/>
      <c r="C30" s="52">
        <f>C14+C20+C23</f>
        <v>0</v>
      </c>
      <c r="D30" s="67"/>
    </row>
    <row r="31" spans="1:11" ht="25.5" customHeight="1" x14ac:dyDescent="0.3">
      <c r="A31" s="65" t="s">
        <v>44</v>
      </c>
      <c r="B31" s="66"/>
      <c r="C31" s="102"/>
      <c r="D31" s="102"/>
    </row>
    <row r="32" spans="1:11" ht="26.5" customHeight="1" x14ac:dyDescent="0.25">
      <c r="A32" s="49" t="s">
        <v>67</v>
      </c>
      <c r="B32" s="59">
        <f>_xlfn.XLOOKUP(Detalle_Lote,Lotes,Producción)</f>
        <v>0</v>
      </c>
      <c r="C32" s="52">
        <f>_xlfn.XLOOKUP(Detalle_Lote,Lotes,Cosecha)</f>
        <v>0</v>
      </c>
      <c r="D32" s="100" t="str">
        <f>CONCATENATE("Q.",'Eficiencias &amp; Configuración'!B24," ","por qq. Cereza")</f>
        <v>Q.65 por qq. Cereza</v>
      </c>
    </row>
    <row r="33" spans="1:4" ht="20" customHeight="1" x14ac:dyDescent="0.25">
      <c r="A33" s="49" t="s">
        <v>68</v>
      </c>
      <c r="B33" s="59">
        <f>B32/5</f>
        <v>0</v>
      </c>
      <c r="C33" s="52">
        <f>_xlfn.XLOOKUP(Detalle_Lote,Lotes,Poscosecha)</f>
        <v>0</v>
      </c>
      <c r="D33" s="100" t="str">
        <f>CONCATENATE("Q.",'Eficiencias &amp; Configuración'!B25," ","por qq. Pergo")</f>
        <v>Q.75 por qq. Pergo</v>
      </c>
    </row>
    <row r="34" spans="1:4" ht="27" customHeight="1" x14ac:dyDescent="0.3">
      <c r="A34" s="65" t="s">
        <v>16</v>
      </c>
      <c r="B34" s="66"/>
      <c r="C34" s="102"/>
      <c r="D34" s="102"/>
    </row>
    <row r="35" spans="1:4" ht="20" customHeight="1" x14ac:dyDescent="0.25">
      <c r="A35" s="49" t="s">
        <v>150</v>
      </c>
      <c r="B35" s="49"/>
      <c r="C35" s="51" t="e">
        <f>(Gastos_Administrativos/SUM(Áreas))*_xlfn.XLOOKUP(Detalle_Lote,Lotes,Áreas)</f>
        <v>#DIV/0!</v>
      </c>
      <c r="D35" s="100" t="s">
        <v>151</v>
      </c>
    </row>
    <row r="36" spans="1:4" ht="28.5" customHeight="1" x14ac:dyDescent="0.3">
      <c r="A36" s="53" t="s">
        <v>17</v>
      </c>
      <c r="B36" s="53"/>
      <c r="C36" s="55" t="e">
        <f>C29+C30+C32+C33+C35</f>
        <v>#DIV/0!</v>
      </c>
      <c r="D36" s="53"/>
    </row>
    <row r="37" spans="1:4" ht="28.5" customHeight="1" x14ac:dyDescent="0.3">
      <c r="A37" s="69" t="e">
        <f>IF(C37&gt;0,"Utilidad","Pérdida")</f>
        <v>#DIV/0!</v>
      </c>
      <c r="B37" s="69"/>
      <c r="C37" s="70" t="e">
        <f>C7-C36</f>
        <v>#DIV/0!</v>
      </c>
    </row>
  </sheetData>
  <sheetProtection algorithmName="SHA-512" hashValue="t8Nx8A2m8UJRQKqZBxkWTaxbic8Eo/ho9Wv0GYhPpi9QIUIWapkcdia0OMSOLGprwsG/kaw5GLoW2W3f6bEiMg==" saltValue="lTSM2hbycoNLnj9/4Xsyrw==" spinCount="100000" sheet="1" objects="1" scenarios="1"/>
  <mergeCells count="1">
    <mergeCell ref="A1:D1"/>
  </mergeCells>
  <hyperlinks>
    <hyperlink ref="D4" location="'Eficiencias &amp; Configuración'!D25" display="'Eficiencias &amp; Configuración'!D25" xr:uid="{48B5BF5A-D68E-4AED-9093-37760A719067}"/>
    <hyperlink ref="D5" location="'Eficiencias &amp; Configuración'!D26" display="'Eficiencias &amp; Configuración'!D26" xr:uid="{13F9AA79-D809-4258-AC61-149E42784E6D}"/>
    <hyperlink ref="D6" location="'Eficiencias &amp; Configuración'!D27" display="'Eficiencias &amp; Configuración'!D27" xr:uid="{58616CBC-5B55-4828-B51C-09BF808CC7B1}"/>
    <hyperlink ref="D9" location="'Eficiencias &amp; Configuración'!B3" display="'Eficiencias &amp; Configuración'!B3" xr:uid="{B7D0F3F6-068D-4A3A-BE4F-3AB6FC7D3B74}"/>
    <hyperlink ref="D10" location="'Eficiencias &amp; Configuración'!B4" display="'Eficiencias &amp; Configuración'!B4" xr:uid="{6CB4BFB6-B434-42D4-BBBD-13547AC2E41B}"/>
    <hyperlink ref="D11" location="'Eficiencias &amp; Configuración'!B5" display="'Eficiencias &amp; Configuración'!B5" xr:uid="{0E4AAACB-DA00-445F-A919-4903C356B5FF}"/>
    <hyperlink ref="D13" location="'Eficiencias &amp; Configuración'!B6" display="'Eficiencias &amp; Configuración'!B6" xr:uid="{C26D06C2-D122-4036-AAC1-0EF402E0898C}"/>
    <hyperlink ref="D14" location="'Eficiencias &amp; Configuración'!D6" display="'Eficiencias &amp; Configuración'!D6" xr:uid="{CF33C765-C5F4-487B-948E-462AD13905D8}"/>
    <hyperlink ref="D21" location="'Eficiencias &amp; Configuración'!B14" display="'Eficiencias &amp; Configuración'!B14" xr:uid="{C66C682B-7F00-4175-8188-45853ECB6207}"/>
    <hyperlink ref="D20" location="'Eficiencias &amp; Configuración'!B13" display="'Eficiencias &amp; Configuración'!B13" xr:uid="{67B262FF-C054-475C-914A-FF7EF848AE18}"/>
    <hyperlink ref="D23" location="'Eficiencias &amp; Configuración'!B17" display="'Eficiencias &amp; Configuración'!B17" xr:uid="{8301276F-F660-4E31-B5CE-A189AF93E0AD}"/>
    <hyperlink ref="D27" location="'Eficiencias &amp; Configuración'!B16" display="'Eficiencias &amp; Configuración'!B16" xr:uid="{4BB1BD15-A90D-4B66-AA47-07FCD291C190}"/>
    <hyperlink ref="D32" location="'Eficiencias &amp; Configuración'!D23" display="'Eficiencias &amp; Configuración'!D23" xr:uid="{79E63321-60EC-4380-B18C-58B61EF6EFE9}"/>
    <hyperlink ref="D33" location="'Eficiencias &amp; Configuración'!D24" display="'Eficiencias &amp; Configuración'!D24" xr:uid="{BF9AC894-A06F-4F94-B2EC-4862F0D275E5}"/>
    <hyperlink ref="C35" location="'Eficiencias &amp; Configuración'!D30" display="'Eficiencias &amp; Configuración'!D30" xr:uid="{CF6B8CFE-2D7E-46EE-8013-AF602FC8835A}"/>
    <hyperlink ref="D2" location="'Eficiencias &amp; Configuración'!D2" display="'Eficiencias &amp; Configuración'!D2" xr:uid="{848D6231-AB31-4684-BF7D-A82970388F81}"/>
    <hyperlink ref="D35" location="'Eficiencias &amp; Configuración'!A41" display="Detalle Gastos Administrativos" xr:uid="{FE85BFDE-89F8-49AC-A97D-8EAB017AEEC4}"/>
    <hyperlink ref="D24" location="'Eficiencias &amp; Configuración'!B20" display="'Eficiencias &amp; Configuración'!B20" xr:uid="{8CF12FD8-B27F-4263-B967-890425960B44}"/>
    <hyperlink ref="D26" location="'Eficiencias &amp; Configuración'!B21" display="'Eficiencias &amp; Configuración'!B21" xr:uid="{8AAD8943-EFBB-4CD2-9348-16C599A6CD26}"/>
    <hyperlink ref="D25" location="'Eficiencias &amp; Configuración'!B20" display="'Eficiencias &amp; Configuración'!B20" xr:uid="{50B28E91-6D78-4DC9-9436-D833A672942D}"/>
  </hyperlinks>
  <pageMargins left="0.7" right="0.7" top="0.75" bottom="0.75" header="0.3" footer="0.3"/>
  <pageSetup scale="5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275EC78-AF40-48F0-9688-6B9FC3370784}">
          <x14:formula1>
            <xm:f>Datos!$A$5:$A$79</xm:f>
          </x14:formula1>
          <xm:sqref>A2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02DD3-CF41-4239-9101-D44D3847C788}">
  <sheetPr codeName="Hoja9"/>
  <dimension ref="A1:E16"/>
  <sheetViews>
    <sheetView showGridLines="0" showRowColHeaders="0" zoomScale="87" workbookViewId="0">
      <pane ySplit="2" topLeftCell="A3" activePane="bottomLeft" state="frozen"/>
      <selection pane="bottomLeft" activeCell="D2" sqref="D2"/>
    </sheetView>
  </sheetViews>
  <sheetFormatPr baseColWidth="10" defaultRowHeight="17" customHeight="1" x14ac:dyDescent="0.25"/>
  <cols>
    <col min="1" max="1" width="10.6640625" style="92"/>
    <col min="2" max="2" width="31.33203125" style="92" customWidth="1"/>
    <col min="3" max="3" width="34.5" style="92" customWidth="1"/>
    <col min="4" max="4" width="16.9140625" style="93" customWidth="1"/>
    <col min="5" max="5" width="23.33203125" style="92" customWidth="1"/>
    <col min="6" max="16384" width="10.6640625" style="92"/>
  </cols>
  <sheetData>
    <row r="1" spans="1:5" customFormat="1" ht="38" customHeight="1" x14ac:dyDescent="0.25">
      <c r="A1" s="113" t="s">
        <v>268</v>
      </c>
      <c r="B1" s="113"/>
      <c r="C1" s="113"/>
      <c r="D1" s="113"/>
      <c r="E1" s="113"/>
    </row>
    <row r="2" spans="1:5" customFormat="1" ht="26.5" customHeight="1" x14ac:dyDescent="0.25">
      <c r="A2" s="14" t="s">
        <v>266</v>
      </c>
      <c r="B2" s="14" t="s">
        <v>265</v>
      </c>
      <c r="C2" s="14" t="s">
        <v>269</v>
      </c>
      <c r="D2" s="90" t="s">
        <v>275</v>
      </c>
      <c r="E2" s="14" t="s">
        <v>58</v>
      </c>
    </row>
    <row r="3" spans="1:5" ht="17" customHeight="1" x14ac:dyDescent="0.25">
      <c r="A3" s="91"/>
    </row>
    <row r="4" spans="1:5" ht="17" customHeight="1" x14ac:dyDescent="0.25">
      <c r="A4" s="91"/>
    </row>
    <row r="5" spans="1:5" ht="17" customHeight="1" x14ac:dyDescent="0.25">
      <c r="A5" s="91"/>
    </row>
    <row r="6" spans="1:5" ht="17" customHeight="1" x14ac:dyDescent="0.25">
      <c r="A6" s="91"/>
    </row>
    <row r="7" spans="1:5" ht="17" customHeight="1" x14ac:dyDescent="0.25">
      <c r="A7" s="91"/>
    </row>
    <row r="8" spans="1:5" ht="17" customHeight="1" x14ac:dyDescent="0.25">
      <c r="A8" s="91"/>
    </row>
    <row r="9" spans="1:5" ht="17" customHeight="1" x14ac:dyDescent="0.25">
      <c r="A9" s="91"/>
    </row>
    <row r="10" spans="1:5" ht="17" customHeight="1" x14ac:dyDescent="0.25">
      <c r="A10" s="91"/>
    </row>
    <row r="11" spans="1:5" ht="17" customHeight="1" x14ac:dyDescent="0.25">
      <c r="A11" s="91"/>
    </row>
    <row r="12" spans="1:5" ht="17" customHeight="1" x14ac:dyDescent="0.25">
      <c r="A12" s="91"/>
    </row>
    <row r="13" spans="1:5" ht="17" customHeight="1" x14ac:dyDescent="0.25">
      <c r="A13" s="91"/>
    </row>
    <row r="14" spans="1:5" ht="17" customHeight="1" x14ac:dyDescent="0.25">
      <c r="A14" s="91"/>
    </row>
    <row r="15" spans="1:5" ht="17" customHeight="1" x14ac:dyDescent="0.25">
      <c r="A15" s="91"/>
    </row>
    <row r="16" spans="1:5" ht="17" customHeight="1" x14ac:dyDescent="0.25">
      <c r="A16" s="91"/>
    </row>
  </sheetData>
  <sheetProtection algorithmName="SHA-512" hashValue="yhBkLPpzhycpp/SiloB6fEF3VYRusaMjeDprr/CP2SWmcHiaeaGnoOwWCJp/u9HTVlkOeNT5ris+dMQZitSp8Q==" saltValue="hfUQv3h3yvFd6roP7grnVg==" spinCount="100000" sheet="1" objects="1" scenarios="1"/>
  <autoFilter ref="A2:E13" xr:uid="{56702DD3-CF41-4239-9101-D44D3847C788}"/>
  <mergeCells count="1">
    <mergeCell ref="A1:E1"/>
  </mergeCells>
  <dataValidations count="2">
    <dataValidation type="list" allowBlank="1" showInputMessage="1" showErrorMessage="1" sqref="B3:B2000" xr:uid="{045D4F39-E8B6-48AE-8612-D8560A1DF8B6}">
      <formula1>Actividades</formula1>
    </dataValidation>
    <dataValidation type="list" allowBlank="1" showInputMessage="1" showErrorMessage="1" sqref="C3:C2000" xr:uid="{CCB28E86-A413-4BDF-B2C9-AE1ED1876CFC}">
      <formula1>INDIRECT(B3)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41A95-5428-4AE0-A069-0A4A58201021}">
  <sheetPr codeName="Hoja7">
    <pageSetUpPr fitToPage="1"/>
  </sheetPr>
  <dimension ref="A1:AT16"/>
  <sheetViews>
    <sheetView showGridLines="0" showRowColHeaders="0" zoomScale="55" zoomScaleNormal="55" workbookViewId="0">
      <pane xSplit="3" ySplit="4" topLeftCell="D5" activePane="bottomRight" state="frozen"/>
      <selection activeCell="A2" sqref="A2:XFD2"/>
      <selection pane="topRight" activeCell="A2" sqref="A2:XFD2"/>
      <selection pane="bottomLeft" activeCell="A2" sqref="A2:XFD2"/>
      <selection pane="bottomRight" activeCell="D5" sqref="D5"/>
    </sheetView>
  </sheetViews>
  <sheetFormatPr baseColWidth="10" defaultColWidth="10.83203125" defaultRowHeight="18" x14ac:dyDescent="0.35"/>
  <cols>
    <col min="1" max="1" width="20" style="29" customWidth="1"/>
    <col min="2" max="2" width="9" style="29" customWidth="1"/>
    <col min="3" max="3" width="6.33203125" style="29" customWidth="1"/>
    <col min="4" max="16" width="18.9140625" style="29" customWidth="1"/>
    <col min="17" max="17" width="13.5" style="84" customWidth="1"/>
    <col min="18" max="18" width="14.08203125" style="87" bestFit="1" customWidth="1"/>
    <col min="19" max="19" width="16.08203125" style="87" customWidth="1"/>
    <col min="20" max="24" width="10.83203125" style="29" customWidth="1"/>
    <col min="25" max="25" width="18.58203125" style="29" customWidth="1"/>
    <col min="26" max="26" width="26.58203125" style="29" customWidth="1"/>
    <col min="27" max="27" width="21.58203125" style="29" customWidth="1"/>
    <col min="28" max="28" width="11" style="29" customWidth="1"/>
    <col min="29" max="29" width="12.58203125" style="29" customWidth="1"/>
    <col min="30" max="30" width="25" style="29" customWidth="1"/>
    <col min="31" max="31" width="10.83203125" style="29" customWidth="1"/>
    <col min="32" max="32" width="20.58203125" style="29" customWidth="1"/>
    <col min="33" max="33" width="10.83203125" style="29" customWidth="1"/>
    <col min="34" max="34" width="18.08203125" style="29" customWidth="1"/>
    <col min="35" max="35" width="24.83203125" style="29" customWidth="1"/>
    <col min="36" max="36" width="18.83203125" style="29" customWidth="1"/>
    <col min="37" max="39" width="10.83203125" style="29" customWidth="1"/>
    <col min="40" max="40" width="18" style="29" bestFit="1" customWidth="1"/>
    <col min="41" max="41" width="22.83203125" style="29" customWidth="1"/>
    <col min="42" max="42" width="5.5" style="29" bestFit="1" customWidth="1"/>
    <col min="43" max="43" width="10.58203125" style="29" bestFit="1" customWidth="1"/>
    <col min="44" max="46" width="12.33203125" style="29" bestFit="1" customWidth="1"/>
    <col min="47" max="47" width="12.58203125" style="29" bestFit="1" customWidth="1"/>
    <col min="48" max="54" width="14.33203125" style="29" bestFit="1" customWidth="1"/>
    <col min="55" max="55" width="15.5" style="29" bestFit="1" customWidth="1"/>
    <col min="56" max="56" width="12.33203125" style="29" bestFit="1" customWidth="1"/>
    <col min="57" max="65" width="14.08203125" style="29" bestFit="1" customWidth="1"/>
    <col min="66" max="68" width="15.33203125" style="29" bestFit="1" customWidth="1"/>
    <col min="69" max="69" width="14.33203125" style="29" bestFit="1" customWidth="1"/>
    <col min="70" max="78" width="16.08203125" style="29" bestFit="1" customWidth="1"/>
    <col min="79" max="81" width="17.33203125" style="29" bestFit="1" customWidth="1"/>
    <col min="82" max="82" width="14.08203125" style="29" bestFit="1" customWidth="1"/>
    <col min="83" max="91" width="15.5" style="29" bestFit="1" customWidth="1"/>
    <col min="92" max="94" width="16.58203125" style="29" bestFit="1" customWidth="1"/>
    <col min="95" max="95" width="16" style="29" bestFit="1" customWidth="1"/>
    <col min="96" max="104" width="17.58203125" style="29" bestFit="1" customWidth="1"/>
    <col min="105" max="107" width="19" style="29" bestFit="1" customWidth="1"/>
    <col min="108" max="108" width="14.83203125" style="29" bestFit="1" customWidth="1"/>
    <col min="109" max="117" width="16.58203125" style="29" bestFit="1" customWidth="1"/>
    <col min="118" max="120" width="17.83203125" style="29" bestFit="1" customWidth="1"/>
    <col min="121" max="121" width="14" style="29" bestFit="1" customWidth="1"/>
    <col min="122" max="130" width="15.58203125" style="29" bestFit="1" customWidth="1"/>
    <col min="131" max="133" width="16.83203125" style="29" bestFit="1" customWidth="1"/>
    <col min="134" max="134" width="12.08203125" style="29" bestFit="1" customWidth="1"/>
    <col min="135" max="143" width="14" style="29" bestFit="1" customWidth="1"/>
    <col min="144" max="146" width="15" style="29" bestFit="1" customWidth="1"/>
    <col min="147" max="147" width="16" style="29" bestFit="1" customWidth="1"/>
    <col min="148" max="156" width="17.58203125" style="29" bestFit="1" customWidth="1"/>
    <col min="157" max="159" width="19" style="29" bestFit="1" customWidth="1"/>
    <col min="160" max="160" width="19.33203125" style="29" bestFit="1" customWidth="1"/>
    <col min="161" max="169" width="21" style="29" bestFit="1" customWidth="1"/>
    <col min="170" max="172" width="22.08203125" style="29" bestFit="1" customWidth="1"/>
    <col min="173" max="173" width="14.58203125" style="29" bestFit="1" customWidth="1"/>
    <col min="174" max="182" width="16.33203125" style="29" bestFit="1" customWidth="1"/>
    <col min="183" max="185" width="17.5" style="29" bestFit="1" customWidth="1"/>
    <col min="186" max="186" width="18.33203125" style="29" bestFit="1" customWidth="1"/>
    <col min="187" max="195" width="20" style="29" bestFit="1" customWidth="1"/>
    <col min="196" max="198" width="21" style="29" bestFit="1" customWidth="1"/>
    <col min="199" max="199" width="12.83203125" style="29" bestFit="1" customWidth="1"/>
    <col min="200" max="208" width="14.58203125" style="29" bestFit="1" customWidth="1"/>
    <col min="209" max="211" width="15.58203125" style="29" bestFit="1" customWidth="1"/>
    <col min="212" max="212" width="14.08203125" style="29" bestFit="1" customWidth="1"/>
    <col min="213" max="221" width="16" style="29" bestFit="1" customWidth="1"/>
    <col min="222" max="224" width="17.08203125" style="29" bestFit="1" customWidth="1"/>
    <col min="225" max="225" width="14.08203125" style="29" bestFit="1" customWidth="1"/>
    <col min="226" max="234" width="15.58203125" style="29" bestFit="1" customWidth="1"/>
    <col min="235" max="237" width="16.83203125" style="29" bestFit="1" customWidth="1"/>
    <col min="238" max="238" width="16.33203125" style="29" bestFit="1" customWidth="1"/>
    <col min="239" max="247" width="18.33203125" style="29" bestFit="1" customWidth="1"/>
    <col min="248" max="250" width="19.5" style="29" bestFit="1" customWidth="1"/>
    <col min="251" max="251" width="14" style="29" bestFit="1" customWidth="1"/>
    <col min="252" max="256" width="16.83203125" style="29" bestFit="1" customWidth="1"/>
    <col min="257" max="257" width="17.33203125" style="29" bestFit="1" customWidth="1"/>
    <col min="258" max="262" width="20.33203125" style="29" bestFit="1" customWidth="1"/>
    <col min="263" max="16384" width="10.83203125" style="29"/>
  </cols>
  <sheetData>
    <row r="1" spans="1:46" ht="67" customHeight="1" x14ac:dyDescent="0.35">
      <c r="A1" s="118" t="s">
        <v>264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31"/>
      <c r="R1" s="84"/>
      <c r="S1" s="84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</row>
    <row r="2" spans="1:46" ht="3" customHeight="1" x14ac:dyDescent="0.3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R2" s="84"/>
      <c r="S2" s="84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</row>
    <row r="3" spans="1:46" ht="24" customHeight="1" x14ac:dyDescent="0.35">
      <c r="A3" s="120" t="s">
        <v>261</v>
      </c>
      <c r="B3" s="121"/>
      <c r="C3" s="122"/>
      <c r="D3" s="126" t="str">
        <f>Inicio</f>
        <v>Enero</v>
      </c>
      <c r="E3" s="116" t="str">
        <f t="shared" ref="E3:P3" si="0">IF(D3="Enero","Febrero",IF(D3="Febrero","Marzo",IF(D3="Marzo","Abril",IF(D3="Abril","Mayo",IF(D3="Mayo","Junio",IF(D3="Junio","Julio",IF(D3="Julio","Agosto",IF(D3="Agosto","Septiembre",IF(D3="Septiembre","Octubre",IF(D3="Octubre","Noviembre",IF(D3="Noviembre","Diciembre",IF(D3="Diciembre","Enero"))))))))))))</f>
        <v>Febrero</v>
      </c>
      <c r="F3" s="116" t="str">
        <f t="shared" si="0"/>
        <v>Marzo</v>
      </c>
      <c r="G3" s="116" t="str">
        <f t="shared" si="0"/>
        <v>Abril</v>
      </c>
      <c r="H3" s="116" t="str">
        <f t="shared" si="0"/>
        <v>Mayo</v>
      </c>
      <c r="I3" s="116" t="str">
        <f t="shared" si="0"/>
        <v>Junio</v>
      </c>
      <c r="J3" s="116" t="str">
        <f t="shared" si="0"/>
        <v>Julio</v>
      </c>
      <c r="K3" s="116" t="str">
        <f t="shared" si="0"/>
        <v>Agosto</v>
      </c>
      <c r="L3" s="116" t="str">
        <f t="shared" si="0"/>
        <v>Septiembre</v>
      </c>
      <c r="M3" s="116" t="str">
        <f t="shared" si="0"/>
        <v>Octubre</v>
      </c>
      <c r="N3" s="116" t="str">
        <f t="shared" si="0"/>
        <v>Noviembre</v>
      </c>
      <c r="O3" s="116" t="str">
        <f t="shared" si="0"/>
        <v>Diciembre</v>
      </c>
      <c r="P3" s="116" t="str">
        <f t="shared" si="0"/>
        <v>Enero</v>
      </c>
      <c r="Q3" s="31"/>
      <c r="R3" s="84"/>
      <c r="S3" s="84"/>
      <c r="T3" s="30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0"/>
      <c r="AO3" s="30"/>
      <c r="AP3" s="30"/>
      <c r="AQ3" s="30"/>
      <c r="AR3" s="30"/>
      <c r="AS3" s="30"/>
      <c r="AT3" s="30"/>
    </row>
    <row r="4" spans="1:46" ht="24" customHeight="1" x14ac:dyDescent="0.35">
      <c r="A4" s="123"/>
      <c r="B4" s="124"/>
      <c r="C4" s="125"/>
      <c r="D4" s="12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31"/>
      <c r="R4" s="84"/>
      <c r="S4" s="84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</row>
    <row r="5" spans="1:46" ht="45" customHeight="1" x14ac:dyDescent="0.35">
      <c r="A5" s="115" t="s">
        <v>5</v>
      </c>
      <c r="B5" s="115"/>
      <c r="C5" s="115"/>
      <c r="D5" s="79">
        <f>Q5</f>
        <v>0</v>
      </c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85">
        <f>SUM(Poda)*Jornal</f>
        <v>0</v>
      </c>
      <c r="R5" s="84"/>
      <c r="S5" s="84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</row>
    <row r="6" spans="1:46" ht="45" customHeight="1" x14ac:dyDescent="0.35">
      <c r="A6" s="115" t="s">
        <v>7</v>
      </c>
      <c r="B6" s="115"/>
      <c r="C6" s="115"/>
      <c r="D6" s="80"/>
      <c r="E6" s="80"/>
      <c r="F6" s="80"/>
      <c r="G6" s="80"/>
      <c r="H6" s="80"/>
      <c r="I6" s="80">
        <f>Q6</f>
        <v>0</v>
      </c>
      <c r="J6" s="80"/>
      <c r="K6" s="80"/>
      <c r="L6" s="80"/>
      <c r="M6" s="80"/>
      <c r="N6" s="80"/>
      <c r="O6" s="80"/>
      <c r="P6" s="80"/>
      <c r="Q6" s="85">
        <f>SUM(Deshije)*Jornal</f>
        <v>0</v>
      </c>
      <c r="R6" s="84"/>
      <c r="S6" s="84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</row>
    <row r="7" spans="1:46" ht="45" customHeight="1" x14ac:dyDescent="0.35">
      <c r="A7" s="115" t="s">
        <v>9</v>
      </c>
      <c r="B7" s="115"/>
      <c r="C7" s="115"/>
      <c r="D7" s="80">
        <f>IF(D3="Abril",$S7/7,IF(D3="Mayo",$S7/7,IF(D3="Junio",$S7/7,IF(D3="Julio",$S7/7,IF(D3="Agosto",$S7/7,IF(D3="Septiembre",$S7/7,IF(D3="Octubre",$S7/7,)))))))</f>
        <v>0</v>
      </c>
      <c r="E7" s="80">
        <f t="shared" ref="E7:P7" si="1">IF(E3="Abril",$S7/7,IF(E3="Mayo",$S7/7,IF(E3="Junio",$S7/7,IF(E3="Julio",$S7/7,IF(E3="Agosto",$S7/7,IF(E3="Septiembre",$S7/7,IF(E3="Octubre",$S7/7,)))))))</f>
        <v>0</v>
      </c>
      <c r="F7" s="80">
        <f t="shared" si="1"/>
        <v>0</v>
      </c>
      <c r="G7" s="80">
        <f>IF(G$3="Abril",$S7/7,IF(G$3="Mayo",$S7/7,IF(G$3="Junio",$S7/7,IF(G$3="Julio",$S7/7,IF(G$3="Agosto",$S7/7,IF(G$3="Septiembre",$S7/7,IF(G$3="Octubre",$S7/7,)))))))</f>
        <v>0</v>
      </c>
      <c r="H7" s="80">
        <f t="shared" si="1"/>
        <v>0</v>
      </c>
      <c r="I7" s="80">
        <f t="shared" si="1"/>
        <v>0</v>
      </c>
      <c r="J7" s="80">
        <f t="shared" si="1"/>
        <v>0</v>
      </c>
      <c r="K7" s="80">
        <f t="shared" si="1"/>
        <v>0</v>
      </c>
      <c r="L7" s="80">
        <f t="shared" si="1"/>
        <v>0</v>
      </c>
      <c r="M7" s="80">
        <f t="shared" si="1"/>
        <v>0</v>
      </c>
      <c r="N7" s="80">
        <f t="shared" si="1"/>
        <v>0</v>
      </c>
      <c r="O7" s="80">
        <f t="shared" si="1"/>
        <v>0</v>
      </c>
      <c r="P7" s="80">
        <f t="shared" si="1"/>
        <v>0</v>
      </c>
      <c r="Q7" s="85">
        <f>SUM(MO_Malezas_Quimico)*Jornal</f>
        <v>0</v>
      </c>
      <c r="R7" s="84">
        <f>SUM(Litros_Herbicida)*Costo_Herbicida</f>
        <v>0</v>
      </c>
      <c r="S7" s="86">
        <f>R7+Q7</f>
        <v>0</v>
      </c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</row>
    <row r="8" spans="1:46" ht="45" customHeight="1" x14ac:dyDescent="0.35">
      <c r="A8" s="115" t="s">
        <v>8</v>
      </c>
      <c r="B8" s="115"/>
      <c r="C8" s="115"/>
      <c r="D8" s="80">
        <f>IF(D3="Abril",$S8/7,IF(D3="Mayo",$S8/7,IF(D3="Junio",$S8/7,IF(D3="Julio",$S8/7,IF(D3="Agosto",$S8/7,IF(D3="Septiembre",$S8/7,IF(D3="Octubre",$S8/7,)))))))</f>
        <v>0</v>
      </c>
      <c r="E8" s="80">
        <f>IF(E3="Abril",$S8/4,IF(E3="Mayo",$S8/4,IF(E3="Junio",$S8/4,IF(E3="Julio",$S8/4,IF(E3="Agosto",$S8/4,IF(E3="Septiembre",$S8/4,IF(E3="Octubre",$S8/4,)))))))</f>
        <v>0</v>
      </c>
      <c r="F8" s="80">
        <f t="shared" ref="F8:P8" si="2">IF(F3="Abril",$S8/7,IF(F3="Mayo",$S8/7,IF(F3="Junio",$S8/7,IF(F3="Julio",$S8/7,IF(F3="Agosto",$S8/7,IF(F3="Septiembre",$S8/7,IF(F3="Octubre",$S8/7,)))))))</f>
        <v>0</v>
      </c>
      <c r="G8" s="80">
        <f>IF(G3="Abril",$S8/4,IF(G3="Mayo",$S8/4,IF(G3="Junio",$S8/4,IF(G3="Julio",$S8/4,IF(G3="Agosto",$S8/4,IF(G3="Septiembre",$S8/4,IF(G3="Octubre",$S8/4,)))))))</f>
        <v>0</v>
      </c>
      <c r="H8" s="80"/>
      <c r="I8" s="80">
        <f>IF(I3="Abril",$S8/4,IF(I3="Mayo",$S8/4,IF(I3="Junio",$S8/4,IF(I3="Julio",$S8/4,IF(I3="Agosto",$S8/4,IF(I3="Septiembre",$S8/4,IF(I3="Octubre",$S8/4,)))))))</f>
        <v>0</v>
      </c>
      <c r="J8" s="80"/>
      <c r="K8" s="80">
        <f>IF(K3="Abril",$S8/4,IF(K3="Mayo",$S8/4,IF(K3="Junio",$S8/4,IF(K3="Julio",$S8/4,IF(K3="Agosto",$S8/4,IF(K3="Septiembre",$S8/4,IF(K3="Octubre",$S8/4,)))))))</f>
        <v>0</v>
      </c>
      <c r="L8" s="80"/>
      <c r="M8" s="80">
        <f>IF(M3="Abril",$S8/4,IF(M3="Mayo",$S8/4,IF(M3="Junio",$S8/4,IF(M3="Julio",$S8/4,IF(M3="Agosto",$S8/4,IF(M3="Septiembre",$S8/4,IF(M3="Octubre",$S8/4,)))))))</f>
        <v>0</v>
      </c>
      <c r="N8" s="80">
        <f t="shared" si="2"/>
        <v>0</v>
      </c>
      <c r="O8" s="80">
        <f>IF(O3="Abril",$S8/4,IF(O3="Mayo",$S8/4,IF(O3="Junio",$S8/4,IF(O3="Julio",$S8/4,IF(O3="Agosto",$S8/4,IF(O3="Septiembre",$S8/4,IF(O3="Octubre",$S8/4,)))))))</f>
        <v>0</v>
      </c>
      <c r="P8" s="80">
        <f t="shared" si="2"/>
        <v>0</v>
      </c>
      <c r="Q8" s="85">
        <f>SUM(MO_Nutrición)*Jornal</f>
        <v>0</v>
      </c>
      <c r="R8" s="84">
        <f>SUM(Quintales_Fertilizante)*Costo_Fertilizante</f>
        <v>0</v>
      </c>
      <c r="S8" s="86">
        <f>R8+Q8</f>
        <v>0</v>
      </c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</row>
    <row r="9" spans="1:46" ht="45" customHeight="1" x14ac:dyDescent="0.35">
      <c r="A9" s="115" t="s">
        <v>262</v>
      </c>
      <c r="B9" s="115"/>
      <c r="C9" s="115"/>
      <c r="D9" s="80"/>
      <c r="E9" s="80"/>
      <c r="F9" s="80">
        <f>$Q9/3</f>
        <v>0</v>
      </c>
      <c r="G9" s="80">
        <f t="shared" ref="G9:H9" si="3">$Q9/3</f>
        <v>0</v>
      </c>
      <c r="H9" s="80">
        <f t="shared" si="3"/>
        <v>0</v>
      </c>
      <c r="I9" s="80"/>
      <c r="J9" s="80"/>
      <c r="K9" s="80"/>
      <c r="L9" s="80"/>
      <c r="M9" s="80"/>
      <c r="N9" s="80"/>
      <c r="O9" s="80"/>
      <c r="P9" s="80"/>
      <c r="Q9" s="85">
        <f>SUM(MO_Plagas)*Jornal</f>
        <v>0</v>
      </c>
      <c r="R9" s="84"/>
      <c r="S9" s="84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</row>
    <row r="10" spans="1:46" ht="45" customHeight="1" x14ac:dyDescent="0.35">
      <c r="A10" s="114" t="s">
        <v>263</v>
      </c>
      <c r="B10" s="114"/>
      <c r="C10" s="114"/>
      <c r="D10" s="80"/>
      <c r="E10" s="80">
        <f>IF(E$3="Abril",$S10/4,IF(E$3="Mayo",$S10/4,IF(E$3="Junio",$S10/4,IF(E$3="Julio",$S10/4,IF(E$3="Agosto",$S10/4,IF(E$3="Septiembre",$S10/4,IF(E$3="Octubre",$S10/4,)))))))</f>
        <v>0</v>
      </c>
      <c r="F10" s="80"/>
      <c r="G10" s="80">
        <f>IF(G$3="Abril",$S10/4,IF(G$3="Mayo",$S10/4,IF(G$3="Junio",$S10/4,IF(G$3="Julio",$S10/4,IF(G$3="Agosto",$S10/4,IF(G$3="Septiembre",$S10/4,IF(G$3="Octubre",$S10/4,)))))))</f>
        <v>0</v>
      </c>
      <c r="H10" s="80"/>
      <c r="I10" s="80">
        <f>IF(I$3="Abril",$S10/4,IF(I$3="Mayo",$S10/4,IF(I$3="Junio",$S10/4,IF(I$3="Julio",$S10/4,IF(I$3="Agosto",$S10/4,IF(I$3="Septiembre",$S10/4,IF(I$3="Octubre",$S10/4,)))))))</f>
        <v>0</v>
      </c>
      <c r="J10" s="80"/>
      <c r="K10" s="80">
        <f>IF(K$3="Abril",$S10/4,IF(K$3="Mayo",$S10/4,IF(K$3="Junio",$S10/4,IF(K$3="Julio",$S10/4,IF(K$3="Agosto",$S10/4,IF(K$3="Septiembre",$S10/4,IF(K$3="Octubre",$S10/4,)))))))</f>
        <v>0</v>
      </c>
      <c r="L10" s="80"/>
      <c r="M10" s="80">
        <f>IF(M$3="Abril",$S10/4,IF(M$3="Mayo",$S10/4,IF(M$3="Junio",$S10/4,IF(M$3="Julio",$S10/4,IF(M$3="Agosto",$S10/4,IF(M$3="Septiembre",$S10/4,IF(M$3="Octubre",$S10/4,)))))))</f>
        <v>0</v>
      </c>
      <c r="N10" s="80"/>
      <c r="O10" s="80">
        <f>IF(O$3="Abril",$S10/4,IF(O$3="Mayo",$S10/4,IF(O$3="Junio",$S10/4,IF(O$3="Julio",$S10/4,IF(O$3="Agosto",$S10/4,IF(O$3="Septiembre",$S10/4,IF(O$3="Octubre",$S10/4,)))))))</f>
        <v>0</v>
      </c>
      <c r="P10" s="80"/>
      <c r="Q10" s="85">
        <f>(SUM(MO_Enfermedades_Crec.)+SUM(MO_Enfermedades_Prod.))*Jornal</f>
        <v>0</v>
      </c>
      <c r="R10" s="84">
        <f>SUM(Fungicida)*Costo_Fungicida</f>
        <v>0</v>
      </c>
      <c r="S10" s="86">
        <f>R10+Q10</f>
        <v>0</v>
      </c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</row>
    <row r="11" spans="1:46" ht="53.15" customHeight="1" x14ac:dyDescent="0.35">
      <c r="A11" s="114" t="s">
        <v>14</v>
      </c>
      <c r="B11" s="114"/>
      <c r="C11" s="114"/>
      <c r="D11" s="81"/>
      <c r="E11" s="81"/>
      <c r="F11" s="81"/>
      <c r="G11" s="81"/>
      <c r="H11" s="81"/>
      <c r="I11" s="81"/>
      <c r="J11" s="81"/>
      <c r="K11" s="81"/>
      <c r="L11" s="81"/>
      <c r="M11" s="81">
        <f>Q11*0.15</f>
        <v>0</v>
      </c>
      <c r="N11" s="81">
        <f>Q11*0.35</f>
        <v>0</v>
      </c>
      <c r="O11" s="81">
        <f>Q11*0.35</f>
        <v>0</v>
      </c>
      <c r="P11" s="81">
        <f>Q11*0.15</f>
        <v>0</v>
      </c>
      <c r="Q11" s="85">
        <f>SUM(Cosecha)</f>
        <v>0</v>
      </c>
    </row>
    <row r="12" spans="1:46" ht="53.15" customHeight="1" x14ac:dyDescent="0.35">
      <c r="A12" s="114" t="s">
        <v>39</v>
      </c>
      <c r="B12" s="114"/>
      <c r="C12" s="114"/>
      <c r="D12" s="82"/>
      <c r="E12" s="81"/>
      <c r="F12" s="81"/>
      <c r="G12" s="81"/>
      <c r="H12" s="81"/>
      <c r="I12" s="81"/>
      <c r="J12" s="81"/>
      <c r="K12" s="81"/>
      <c r="L12" s="81"/>
      <c r="M12" s="81">
        <f>Q12*0.15</f>
        <v>0</v>
      </c>
      <c r="N12" s="81">
        <f>Q12*0.35</f>
        <v>0</v>
      </c>
      <c r="O12" s="81">
        <f>Q12*0.35</f>
        <v>0</v>
      </c>
      <c r="P12" s="81">
        <f>Q12*0.15</f>
        <v>0</v>
      </c>
      <c r="Q12" s="85">
        <f>SUM(Poscosecha)</f>
        <v>0</v>
      </c>
    </row>
    <row r="13" spans="1:46" ht="36.5" customHeight="1" x14ac:dyDescent="0.35">
      <c r="A13" s="114" t="s">
        <v>267</v>
      </c>
      <c r="B13" s="114"/>
      <c r="C13" s="114"/>
      <c r="D13" s="83">
        <f>SUM(D5:D12)</f>
        <v>0</v>
      </c>
      <c r="E13" s="83">
        <f t="shared" ref="E13:P13" si="4">SUM(E5:E12)</f>
        <v>0</v>
      </c>
      <c r="F13" s="83">
        <f t="shared" si="4"/>
        <v>0</v>
      </c>
      <c r="G13" s="83">
        <f t="shared" si="4"/>
        <v>0</v>
      </c>
      <c r="H13" s="83">
        <f t="shared" si="4"/>
        <v>0</v>
      </c>
      <c r="I13" s="83">
        <f t="shared" si="4"/>
        <v>0</v>
      </c>
      <c r="J13" s="83">
        <f t="shared" si="4"/>
        <v>0</v>
      </c>
      <c r="K13" s="83">
        <f t="shared" si="4"/>
        <v>0</v>
      </c>
      <c r="L13" s="83">
        <f t="shared" si="4"/>
        <v>0</v>
      </c>
      <c r="M13" s="83">
        <f t="shared" si="4"/>
        <v>0</v>
      </c>
      <c r="N13" s="83">
        <f t="shared" si="4"/>
        <v>0</v>
      </c>
      <c r="O13" s="83">
        <f t="shared" si="4"/>
        <v>0</v>
      </c>
      <c r="P13" s="83">
        <f t="shared" si="4"/>
        <v>0</v>
      </c>
    </row>
    <row r="15" spans="1:46" x14ac:dyDescent="0.35">
      <c r="A15" s="35"/>
    </row>
    <row r="16" spans="1:46" x14ac:dyDescent="0.35">
      <c r="A16" s="35"/>
      <c r="B16" s="35"/>
      <c r="C16" s="35"/>
    </row>
  </sheetData>
  <sheetProtection algorithmName="SHA-512" hashValue="BHIHlaZ//7jFajiuCWQPss4lFFU9iBR5WYYKy1t0Pc8I0tLm2wPad1PSFy1/qzDwOuLCoW1eBWZ1szV5EWHt7w==" saltValue="6hfd56ftqIF1kWmNbbGLow==" spinCount="100000" sheet="1" objects="1" scenarios="1"/>
  <mergeCells count="24">
    <mergeCell ref="M3:M4"/>
    <mergeCell ref="N3:N4"/>
    <mergeCell ref="O3:O4"/>
    <mergeCell ref="P3:P4"/>
    <mergeCell ref="A1:P1"/>
    <mergeCell ref="A3:C4"/>
    <mergeCell ref="D3:D4"/>
    <mergeCell ref="E3:E4"/>
    <mergeCell ref="F3:F4"/>
    <mergeCell ref="G3:G4"/>
    <mergeCell ref="H3:H4"/>
    <mergeCell ref="I3:I4"/>
    <mergeCell ref="J3:J4"/>
    <mergeCell ref="K3:K4"/>
    <mergeCell ref="A5:C5"/>
    <mergeCell ref="A6:C6"/>
    <mergeCell ref="A7:C7"/>
    <mergeCell ref="A8:C8"/>
    <mergeCell ref="L3:L4"/>
    <mergeCell ref="A11:C11"/>
    <mergeCell ref="A12:C12"/>
    <mergeCell ref="A13:C13"/>
    <mergeCell ref="A9:C9"/>
    <mergeCell ref="A10:C10"/>
  </mergeCells>
  <conditionalFormatting sqref="D5:P12">
    <cfRule type="cellIs" dxfId="0" priority="1" operator="greaterThan">
      <formula>0</formula>
    </cfRule>
  </conditionalFormatting>
  <printOptions horizontalCentered="1" verticalCentered="1"/>
  <pageMargins left="0" right="0" top="0" bottom="0" header="0" footer="0"/>
  <pageSetup scale="4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C6201-5ACC-4D3F-94BF-D894E0AF7726}">
  <sheetPr codeName="Hoja10"/>
  <dimension ref="A1:G4"/>
  <sheetViews>
    <sheetView workbookViewId="0">
      <selection activeCell="G1" sqref="G1:G3"/>
    </sheetView>
  </sheetViews>
  <sheetFormatPr baseColWidth="10" defaultRowHeight="13.5" x14ac:dyDescent="0.25"/>
  <sheetData>
    <row r="1" spans="1:7" x14ac:dyDescent="0.25">
      <c r="A1" t="s">
        <v>276</v>
      </c>
      <c r="B1" t="s">
        <v>56</v>
      </c>
      <c r="C1" t="s">
        <v>8</v>
      </c>
      <c r="D1" t="s">
        <v>273</v>
      </c>
      <c r="E1" t="s">
        <v>274</v>
      </c>
      <c r="F1" t="s">
        <v>277</v>
      </c>
      <c r="G1" t="s">
        <v>284</v>
      </c>
    </row>
    <row r="2" spans="1:7" x14ac:dyDescent="0.25">
      <c r="A2" t="s">
        <v>270</v>
      </c>
      <c r="B2" t="s">
        <v>5</v>
      </c>
      <c r="C2" t="s">
        <v>48</v>
      </c>
      <c r="D2" t="s">
        <v>31</v>
      </c>
      <c r="E2" t="s">
        <v>280</v>
      </c>
      <c r="F2" t="s">
        <v>67</v>
      </c>
      <c r="G2" t="s">
        <v>46</v>
      </c>
    </row>
    <row r="3" spans="1:7" x14ac:dyDescent="0.25">
      <c r="A3" t="s">
        <v>278</v>
      </c>
      <c r="B3" t="s">
        <v>54</v>
      </c>
      <c r="C3" t="s">
        <v>279</v>
      </c>
      <c r="D3" t="s">
        <v>283</v>
      </c>
      <c r="E3" t="s">
        <v>281</v>
      </c>
      <c r="F3" t="s">
        <v>39</v>
      </c>
      <c r="G3" t="s">
        <v>149</v>
      </c>
    </row>
    <row r="4" spans="1:7" x14ac:dyDescent="0.25">
      <c r="A4" t="s">
        <v>271</v>
      </c>
      <c r="B4" t="s">
        <v>7</v>
      </c>
      <c r="E4" t="s">
        <v>282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9D1BD-FE27-4210-AD7C-BF5C21EE3AF0}">
  <sheetPr codeName="Hoja4"/>
  <dimension ref="A2:BL106"/>
  <sheetViews>
    <sheetView showGridLines="0" zoomScale="64" zoomScaleNormal="46" workbookViewId="0">
      <pane xSplit="3" ySplit="3" topLeftCell="N4" activePane="bottomRight" state="frozen"/>
      <selection pane="topRight" activeCell="D1" sqref="D1"/>
      <selection pane="bottomLeft" activeCell="A4" sqref="A4"/>
      <selection pane="bottomRight" activeCell="V13" sqref="V13"/>
    </sheetView>
  </sheetViews>
  <sheetFormatPr baseColWidth="10" defaultRowHeight="13.5" x14ac:dyDescent="0.25"/>
  <cols>
    <col min="4" max="4" width="15.25" customWidth="1"/>
    <col min="5" max="6" width="14.9140625" customWidth="1"/>
    <col min="7" max="7" width="14.33203125" customWidth="1"/>
    <col min="8" max="9" width="14.9140625" customWidth="1"/>
    <col min="10" max="11" width="14.33203125" customWidth="1"/>
    <col min="12" max="12" width="15.83203125" customWidth="1"/>
    <col min="13" max="22" width="10.6640625" customWidth="1"/>
    <col min="23" max="30" width="13.1640625" customWidth="1"/>
    <col min="31" max="44" width="14.33203125" customWidth="1"/>
    <col min="45" max="45" width="10.6640625" customWidth="1"/>
    <col min="47" max="48" width="14.75" customWidth="1"/>
    <col min="49" max="49" width="19.08203125" customWidth="1"/>
    <col min="50" max="50" width="21.4140625" customWidth="1"/>
    <col min="51" max="51" width="14.75" customWidth="1"/>
    <col min="52" max="52" width="17.9140625" customWidth="1"/>
    <col min="53" max="53" width="14.75" customWidth="1"/>
    <col min="54" max="54" width="18.25" customWidth="1"/>
    <col min="55" max="55" width="26.08203125" customWidth="1"/>
    <col min="56" max="60" width="14.75" customWidth="1"/>
    <col min="61" max="61" width="30.75" customWidth="1"/>
    <col min="62" max="62" width="12.6640625" customWidth="1"/>
  </cols>
  <sheetData>
    <row r="2" spans="1:64" x14ac:dyDescent="0.25">
      <c r="K2" t="s">
        <v>170</v>
      </c>
      <c r="N2" t="s">
        <v>173</v>
      </c>
      <c r="R2" t="s">
        <v>176</v>
      </c>
      <c r="X2" t="s">
        <v>182</v>
      </c>
      <c r="AA2" t="s">
        <v>181</v>
      </c>
      <c r="AI2" t="s">
        <v>194</v>
      </c>
      <c r="AL2" t="s">
        <v>191</v>
      </c>
      <c r="AO2" t="s">
        <v>195</v>
      </c>
    </row>
    <row r="3" spans="1:64" s="11" customFormat="1" ht="63.5" customHeight="1" x14ac:dyDescent="0.25">
      <c r="A3" s="3" t="s">
        <v>1</v>
      </c>
      <c r="B3" s="3" t="s">
        <v>141</v>
      </c>
      <c r="C3" s="3" t="s">
        <v>142</v>
      </c>
      <c r="D3" s="3" t="s">
        <v>178</v>
      </c>
      <c r="E3" s="3" t="s">
        <v>143</v>
      </c>
      <c r="F3" s="18" t="s">
        <v>146</v>
      </c>
      <c r="G3" s="3" t="s">
        <v>147</v>
      </c>
      <c r="H3" s="3" t="s">
        <v>144</v>
      </c>
      <c r="I3" s="18" t="s">
        <v>145</v>
      </c>
      <c r="J3" s="3" t="s">
        <v>148</v>
      </c>
      <c r="K3" s="3" t="s">
        <v>177</v>
      </c>
      <c r="L3" s="3" t="s">
        <v>171</v>
      </c>
      <c r="M3" s="3" t="s">
        <v>172</v>
      </c>
      <c r="N3" s="3" t="s">
        <v>177</v>
      </c>
      <c r="O3" s="3" t="s">
        <v>171</v>
      </c>
      <c r="P3" s="3" t="s">
        <v>172</v>
      </c>
      <c r="Q3" s="3" t="s">
        <v>174</v>
      </c>
      <c r="R3" s="3" t="s">
        <v>177</v>
      </c>
      <c r="S3" s="3" t="s">
        <v>171</v>
      </c>
      <c r="T3" s="3" t="s">
        <v>172</v>
      </c>
      <c r="U3" s="3" t="s">
        <v>174</v>
      </c>
      <c r="V3" s="3" t="s">
        <v>175</v>
      </c>
      <c r="W3" s="3" t="s">
        <v>19</v>
      </c>
      <c r="X3" s="22" t="s">
        <v>179</v>
      </c>
      <c r="Y3" s="3" t="s">
        <v>180</v>
      </c>
      <c r="Z3" s="3" t="s">
        <v>118</v>
      </c>
      <c r="AA3" s="3" t="s">
        <v>183</v>
      </c>
      <c r="AB3" s="3" t="s">
        <v>118</v>
      </c>
      <c r="AC3" s="22" t="s">
        <v>180</v>
      </c>
      <c r="AD3" s="22" t="s">
        <v>118</v>
      </c>
      <c r="AE3" s="25" t="s">
        <v>5</v>
      </c>
      <c r="AF3" s="25" t="s">
        <v>55</v>
      </c>
      <c r="AG3" s="25" t="s">
        <v>7</v>
      </c>
      <c r="AH3" s="3" t="s">
        <v>185</v>
      </c>
      <c r="AI3" s="27" t="s">
        <v>192</v>
      </c>
      <c r="AJ3" s="27" t="s">
        <v>115</v>
      </c>
      <c r="AK3" s="27" t="s">
        <v>193</v>
      </c>
      <c r="AL3" s="28" t="s">
        <v>192</v>
      </c>
      <c r="AM3" s="28" t="s">
        <v>115</v>
      </c>
      <c r="AN3" s="28" t="s">
        <v>193</v>
      </c>
      <c r="AO3" s="27" t="s">
        <v>192</v>
      </c>
      <c r="AP3" s="27" t="s">
        <v>115</v>
      </c>
      <c r="AQ3" s="27" t="s">
        <v>193</v>
      </c>
      <c r="AR3" s="25" t="s">
        <v>184</v>
      </c>
      <c r="AS3" s="3" t="s">
        <v>32</v>
      </c>
      <c r="AT3" s="25" t="s">
        <v>31</v>
      </c>
      <c r="AU3" s="25" t="s">
        <v>154</v>
      </c>
      <c r="AV3" s="3" t="s">
        <v>50</v>
      </c>
      <c r="AW3" s="25" t="s">
        <v>37</v>
      </c>
      <c r="AX3" s="25" t="s">
        <v>38</v>
      </c>
      <c r="AY3" s="3" t="s">
        <v>14</v>
      </c>
      <c r="AZ3" s="3" t="s">
        <v>39</v>
      </c>
      <c r="BA3" s="3" t="s">
        <v>6</v>
      </c>
      <c r="BB3" s="3" t="s">
        <v>47</v>
      </c>
      <c r="BC3" s="3" t="s">
        <v>21</v>
      </c>
      <c r="BD3" s="3" t="s">
        <v>52</v>
      </c>
      <c r="BE3" s="3" t="s">
        <v>53</v>
      </c>
      <c r="BF3" s="3" t="s">
        <v>152</v>
      </c>
      <c r="BG3" s="3" t="s">
        <v>153</v>
      </c>
      <c r="BH3" s="3" t="s">
        <v>18</v>
      </c>
    </row>
    <row r="4" spans="1:64" x14ac:dyDescent="0.25">
      <c r="A4" t="str">
        <f>Datos!A5</f>
        <v>Lote 1</v>
      </c>
      <c r="B4" s="6">
        <f>Datos!B5</f>
        <v>0</v>
      </c>
      <c r="C4">
        <f>_xlfn.XLOOKUP(UM,Hoja1!A$2:A$7,Hoja1!B$2:B$7)*B4</f>
        <v>0</v>
      </c>
      <c r="D4" s="9">
        <f>IFERROR((Metros2*Datos!B5/(Datos!D5*Datos!C5)),0)</f>
        <v>0</v>
      </c>
      <c r="E4" s="6">
        <f>K4+N4+R4</f>
        <v>0</v>
      </c>
      <c r="F4" s="12">
        <f>L4+O4+P4+S4+T4</f>
        <v>0</v>
      </c>
      <c r="G4" s="6">
        <f>M4+Q4+U4+V4</f>
        <v>0</v>
      </c>
      <c r="H4">
        <f t="shared" ref="H4" si="0">IFERROR((C4/D4)*E4,0)</f>
        <v>0</v>
      </c>
      <c r="I4">
        <f t="shared" ref="I4" si="1">IFERROR((C4/D4)*F4,0)</f>
        <v>0</v>
      </c>
      <c r="J4">
        <f t="shared" ref="J4" si="2">IFERROR((C4/D4)*G4,0)</f>
        <v>0</v>
      </c>
      <c r="K4" s="9">
        <f>IF(Ciclo="_3_años",
IF(Datos!F5="Por_Surcos",
IF(Datos!G5&gt;=1,D4/3,0),
IF(Datos!F5="En_Bloque",
IF(Datos!G5=1,D4,0),
0)),0)</f>
        <v>0</v>
      </c>
      <c r="L4" s="17">
        <f>IF(Ciclo="_3_años",
IF(Datos!F5="Por_Surcos",
IF(Datos!G5&gt;=2,D4/3,0),
IF(Datos!F5="En_Bloque",
IF(Datos!G5=2,D4,0),
0)),0)</f>
        <v>0</v>
      </c>
      <c r="M4" s="9">
        <f>IF(Ciclo="_3_años",
IF(Datos!F5="Por_Surcos",
IF(Datos!G5&gt;=3,D4/3,0),
IF(Datos!F5="En_Bloque",
IF(Datos!G5=3,D4,0),
0)),0)</f>
        <v>0</v>
      </c>
      <c r="N4" s="9">
        <f>IF(Ciclo="_4_años",
IF(Datos!F5="Por_Surcos",
IF(Datos!G5&gt;=1,D4/4,0),
IF(Datos!F5="En_Bloque",
IF(Datos!G5=1,D4,0),
0)),0)</f>
        <v>0</v>
      </c>
      <c r="O4" s="9">
        <f>IF(Ciclo="_4_años",
IF(Datos!F5="Por_Surcos",
IF(Datos!G5&gt;=2,D4/4,0),
IF(Datos!F5="En_Bloque",
IF(Datos!G5=2,D4,0),
0)),0)</f>
        <v>0</v>
      </c>
      <c r="P4" s="9">
        <f>IF(Ciclo="_4_años",
IF(Datos!F5="Por_Surcos",
IF(Datos!G5&gt;=3,D4/4,0),
IF(Datos!F5="En_Bloque",
IF(Datos!G5=3,D4,0),
0)),0)</f>
        <v>0</v>
      </c>
      <c r="Q4" s="9">
        <f>IF(Ciclo="_4_años",
IF(Datos!F5="Por_Surcos",
IF(Datos!G5&gt;=4,D4/4,0),
IF(Datos!F5="En_Bloque",
IF(Datos!G5=4,D4,0),
0)),0)</f>
        <v>0</v>
      </c>
      <c r="R4" s="9">
        <f>IF(Ciclo="_5_años",
IF(Datos!F5="Por_Surcos",
IF(Datos!G5&gt;=1,D4/5,0),
IF(Datos!F5="En_Bloque",
IF(Datos!G5=1,D4,0),
0)),0)</f>
        <v>0</v>
      </c>
      <c r="S4" s="9">
        <f>IF(Ciclo="_5_años",
IF(Datos!F5="Por_Surcos",
IF(Datos!G5&gt;=2,D4/5,0),
IF(Datos!F5="En_Bloque",
IF(Datos!G5=2,D4,0),
0)),0)</f>
        <v>0</v>
      </c>
      <c r="T4" s="9">
        <f>IF(Ciclo="_5_años",
IF(Datos!F5="Por_Surcos",
IF(Datos!G5&gt;=3,D4/5,0),
IF(Datos!F5="En_Bloque",
IF(Datos!G5=3,D4,0),
0)),0)</f>
        <v>0</v>
      </c>
      <c r="U4" s="9">
        <f>IF(Ciclo="_5_años",
IF(Datos!F5="Por_Surcos",
IF(Datos!G5&gt;=4,D4/5,0),
IF(Datos!F5="En_Bloque",
IF(Datos!G5=4,D4,0),
0)),0)</f>
        <v>0</v>
      </c>
      <c r="V4" s="9">
        <f>IF(Ciclo="_5_años",
IF(Datos!F5="Por_Surcos",
IF(Datos!G5&gt;=5,D4/5,0),
IF(Datos!F5="En_Bloque",
IF(Datos!G5=5,D4,0),
0)),0)</f>
        <v>0</v>
      </c>
      <c r="W4" s="9">
        <f>(((L4*4.5)+(M4*12)+(O4*0.5)+(P4*4)+(Q4*8.5)+(S4*0.5)+(T4*4)+(U4*8.5)+(V4*6))*Datos!E5)/100</f>
        <v>0</v>
      </c>
      <c r="X4" s="6">
        <f t="shared" ref="X4" si="3">(75/(45.36*Formula_N)*100)*H4</f>
        <v>0</v>
      </c>
      <c r="Y4" s="9">
        <f t="shared" ref="Y4:Y35" si="4">(150/(45.36*Formula_N)*100)*I4</f>
        <v>0</v>
      </c>
      <c r="Z4" s="9">
        <f t="shared" ref="Z4" si="5">(75/(45.36*Formula_N)*100)*J4</f>
        <v>0</v>
      </c>
      <c r="AA4" s="6">
        <f t="shared" ref="AA4" si="6">((((L4*4.5)+(O4*0.5)+(S4*0.5)+(T4*4))/100)/22.025)*5/(45.36 * Formula_N) * 100</f>
        <v>0</v>
      </c>
      <c r="AB4" s="9">
        <f t="shared" ref="AB4" si="7">((((M4*12)+(Q4*8.5)+(U4*8.5)+(V4*6))/100)/22.025)*5/(45.36 * Formula_N) * 100</f>
        <v>0</v>
      </c>
      <c r="AC4" s="6">
        <f>Y4+AA4</f>
        <v>0</v>
      </c>
      <c r="AD4" s="6">
        <f>Z4+AB4</f>
        <v>0</v>
      </c>
      <c r="AE4" s="5">
        <f t="shared" ref="AE4" si="8">E4/Plantas_Poda_Por_Dia</f>
        <v>0</v>
      </c>
      <c r="AF4" s="5">
        <f>IF(Datos!F5="En_Bloque",0,IF(Datos!F5="Por_Surcos",IF(Datos!G5=1,E4/Plantas_Paliativa_Por_Dia,0),0))</f>
        <v>0</v>
      </c>
      <c r="AG4" s="5">
        <f t="shared" ref="AG4" si="9">E4/Plantas_Deshije_Por_Dia</f>
        <v>0</v>
      </c>
      <c r="AH4" s="5">
        <f>X4+AC4+AD4</f>
        <v>0</v>
      </c>
      <c r="AI4" s="5">
        <f>IFERROR(X4*1600/E4,0)</f>
        <v>0</v>
      </c>
      <c r="AJ4" s="5">
        <f>IFERROR(AC4*1600/F4,0)</f>
        <v>0</v>
      </c>
      <c r="AK4" s="5">
        <f>IFERROR(AD4*1600/G4,0)</f>
        <v>0</v>
      </c>
      <c r="AL4" s="5">
        <f>INT(IF(AI4&gt;0,IF(AI4&lt;2,1,IF(AI4&gt;14,7,AI4/2))))</f>
        <v>0</v>
      </c>
      <c r="AM4" s="5">
        <f>INT(IF(AJ4&gt;0,IF(AJ4&lt;2,1,IF(AJ4&gt;14,7,AJ4/2))))</f>
        <v>0</v>
      </c>
      <c r="AN4" s="5">
        <f>INT(IF(AK4&gt;0,IF(AK4&lt;2,1,IF(AK4&gt;14,7,AK4/2))))</f>
        <v>0</v>
      </c>
      <c r="AO4" s="5">
        <f>IFERROR(AI4/AL4,0)</f>
        <v>0</v>
      </c>
      <c r="AP4" s="5">
        <f>IFERROR(AJ4/AM4,0)</f>
        <v>0</v>
      </c>
      <c r="AQ4" s="5">
        <f>IFERROR(AK4/AN4,0)</f>
        <v>0</v>
      </c>
      <c r="AR4" s="5">
        <f t="shared" ref="AR4:AR35" si="10">(X4+AC4+AD4)/Quintales_Fertilizante_Por_Jornal</f>
        <v>0</v>
      </c>
      <c r="AS4" s="6">
        <f>'Eficiencias &amp; Configuración'!B$12*Cálculos!C4</f>
        <v>0</v>
      </c>
      <c r="AT4" s="6">
        <f>IFERROR(('Eficiencias &amp; Configuración'!B$15*C4)*'Eficiencias &amp; Configuración'!B$14,0)</f>
        <v>0</v>
      </c>
      <c r="AU4">
        <f>C4*'Eficiencias &amp; Configuración'!B$16</f>
        <v>0</v>
      </c>
      <c r="AV4">
        <f>C4*'Eficiencias &amp; Configuración'!B$19</f>
        <v>0</v>
      </c>
      <c r="AW4">
        <f>(H4*Enfermedades_Crecimiento)*'Eficiencias &amp; Configuración'!B$18</f>
        <v>0</v>
      </c>
      <c r="AX4">
        <f>(I4+J4)*Enfermedades_Producción*'Eficiencias &amp; Configuración'!B$18</f>
        <v>0</v>
      </c>
      <c r="AY4" s="23">
        <f>W4*'Eficiencias &amp; Configuración'!B$24</f>
        <v>0</v>
      </c>
      <c r="AZ4" s="4">
        <f>(W4/5)*'Eficiencias &amp; Configuración'!B$25</f>
        <v>0</v>
      </c>
      <c r="BA4" s="5">
        <f>AE4+AF4+AG4+AT4+AU4+AW4+AX4+AR4</f>
        <v>0</v>
      </c>
      <c r="BB4" s="4">
        <f t="shared" ref="BB4" si="11">BA4*Jornal</f>
        <v>0</v>
      </c>
      <c r="BC4" s="4">
        <f t="shared" ref="BC4:BC35" si="12">(AS4*Costo_Herbicida)+(AV4*Costo_Fungicida)+(AH4*Costo_Fertilizante)</f>
        <v>0</v>
      </c>
      <c r="BD4" s="4">
        <f>BC4+BB4</f>
        <v>0</v>
      </c>
      <c r="BE4" s="5">
        <f>AZ4+AY4</f>
        <v>0</v>
      </c>
      <c r="BF4" s="5">
        <f>BE4+BD4</f>
        <v>0</v>
      </c>
      <c r="BG4" s="5" t="e">
        <f t="shared" ref="BG4:BG35" si="13">Gastos_Administrativos/SUM(Áreas)*B4</f>
        <v>#DIV/0!</v>
      </c>
      <c r="BH4" s="4">
        <f t="shared" ref="BH4:BH35" si="14">(W4*0.9*Precio_Venta_Primera)+(W4*0.07*Precio_Venta_Segunda)+(W4*0.03*Precio_Venta_Inferior)</f>
        <v>0</v>
      </c>
      <c r="BI4" s="4" t="e">
        <f>BH4-(BF4+BG4)</f>
        <v>#DIV/0!</v>
      </c>
      <c r="BJ4" s="24"/>
      <c r="BK4" s="4"/>
      <c r="BL4" s="4"/>
    </row>
    <row r="5" spans="1:64" x14ac:dyDescent="0.25">
      <c r="A5" t="str">
        <f>Datos!A6</f>
        <v>Lote 2</v>
      </c>
      <c r="B5" s="6">
        <f>Datos!B6</f>
        <v>0</v>
      </c>
      <c r="C5">
        <f>_xlfn.XLOOKUP(UM,Hoja1!A$2:A$7,Hoja1!B$2:B$7)*B5</f>
        <v>0</v>
      </c>
      <c r="D5" s="9">
        <f>IFERROR((Metros2*Datos!B6/(Datos!D6*Datos!C6)),0)</f>
        <v>0</v>
      </c>
      <c r="E5" s="6">
        <f t="shared" ref="E5:E68" si="15">K5+N5+R5</f>
        <v>0</v>
      </c>
      <c r="F5" s="12">
        <f t="shared" ref="F5:F68" si="16">L5+O5+P5+S5+T5</f>
        <v>0</v>
      </c>
      <c r="G5" s="6">
        <f t="shared" ref="G5:G68" si="17">M5+Q5+U5+V5</f>
        <v>0</v>
      </c>
      <c r="H5">
        <f t="shared" ref="H5:H68" si="18">IFERROR((C5/D5)*E5,0)</f>
        <v>0</v>
      </c>
      <c r="I5">
        <f t="shared" ref="I5:I68" si="19">IFERROR((C5/D5)*F5,0)</f>
        <v>0</v>
      </c>
      <c r="J5">
        <f t="shared" ref="J5:J68" si="20">IFERROR((C5/D5)*G5,0)</f>
        <v>0</v>
      </c>
      <c r="K5" s="9">
        <f>IF(Ciclo="_3_años",
IF(Datos!F6="Por_Surcos",
IF(Datos!G6&gt;=1,D5/3,0),
IF(Datos!F6="En_Bloque",
IF(Datos!G6=1,D5,0),
0)),0)</f>
        <v>0</v>
      </c>
      <c r="L5" s="17">
        <f>IF(Ciclo="_3_años",
IF(Datos!F6="Por_Surcos",
IF(Datos!G6&gt;=2,D5/3,0),
IF(Datos!F6="En_Bloque",
IF(Datos!G6=2,D5,0),
0)),0)</f>
        <v>0</v>
      </c>
      <c r="M5" s="9">
        <f>IF(Ciclo="_3_años",
IF(Datos!F6="Por_Surcos",
IF(Datos!G6&gt;=3,D5/3,0),
IF(Datos!F6="En_Bloque",
IF(Datos!G6=3,D5,0),
0)),0)</f>
        <v>0</v>
      </c>
      <c r="N5" s="9">
        <f>IF(Ciclo="_4_años",
IF(Datos!F6="Por_Surcos",
IF(Datos!G6&gt;=1,D5/4,0),
IF(Datos!F6="En_Bloque",
IF(Datos!G6=1,D5,0),
0)),0)</f>
        <v>0</v>
      </c>
      <c r="O5" s="9">
        <f>IF(Ciclo="_4_años",
IF(Datos!F6="Por_Surcos",
IF(Datos!G6&gt;=2,D5/4,0),
IF(Datos!F6="En_Bloque",
IF(Datos!G6=2,D5,0),
0)),0)</f>
        <v>0</v>
      </c>
      <c r="P5" s="9">
        <f>IF(Ciclo="_4_años",
IF(Datos!F6="Por_Surcos",
IF(Datos!G6&gt;=3,D5/4,0),
IF(Datos!F6="En_Bloque",
IF(Datos!G6=3,D5,0),
0)),0)</f>
        <v>0</v>
      </c>
      <c r="Q5" s="9">
        <f>IF(Ciclo="_4_años",
IF(Datos!F6="Por_Surcos",
IF(Datos!G6&gt;=4,D5/4,0),
IF(Datos!F6="En_Bloque",
IF(Datos!G6=4,D5,0),
0)),0)</f>
        <v>0</v>
      </c>
      <c r="R5" s="9">
        <f>IF(Ciclo="_5_años",
IF(Datos!F6="Por_Surcos",
IF(Datos!G6&gt;=1,D5/5,0),
IF(Datos!F6="En_Bloque",
IF(Datos!G6=1,D5,0),
0)),0)</f>
        <v>0</v>
      </c>
      <c r="S5" s="9">
        <f>IF(Ciclo="_5_años",
IF(Datos!F6="Por_Surcos",
IF(Datos!G6&gt;=2,D5/5,0),
IF(Datos!F6="En_Bloque",
IF(Datos!G6=2,D5,0),
0)),0)</f>
        <v>0</v>
      </c>
      <c r="T5" s="9">
        <f>IF(Ciclo="_5_años",
IF(Datos!F6="Por_Surcos",
IF(Datos!G6&gt;=3,D5/5,0),
IF(Datos!F6="En_Bloque",
IF(Datos!G6=3,D5,0),
0)),0)</f>
        <v>0</v>
      </c>
      <c r="U5" s="9">
        <f>IF(Ciclo="_5_años",
IF(Datos!F6="Por_Surcos",
IF(Datos!G6&gt;=4,D5/5,0),
IF(Datos!F6="En_Bloque",
IF(Datos!G6=4,D5,0),
0)),0)</f>
        <v>0</v>
      </c>
      <c r="V5" s="9">
        <f>IF(Ciclo="_5_años",
IF(Datos!F6="Por_Surcos",
IF(Datos!G6&gt;=5,D5/5,0),
IF(Datos!F6="En_Bloque",
IF(Datos!G6=5,D5,0),
0)),0)</f>
        <v>0</v>
      </c>
      <c r="W5" s="9">
        <f>(((L5*4.5)+(M5*12)+(O5*0.5)+(P5*4)+(Q5*8.5)+(S5*0.5)+(T5*4)+(U5*8.5)+(V5*6))*Datos!E6)/100</f>
        <v>0</v>
      </c>
      <c r="X5" s="6">
        <f t="shared" ref="X5:X68" si="21">(75/(45.36*Formula_N)*100)*H5</f>
        <v>0</v>
      </c>
      <c r="Y5" s="9">
        <f t="shared" si="4"/>
        <v>0</v>
      </c>
      <c r="Z5" s="9">
        <f t="shared" ref="Z5:Z68" si="22">(75/(45.36*Formula_N)*100)*J5</f>
        <v>0</v>
      </c>
      <c r="AA5" s="6">
        <f t="shared" ref="AA5:AA68" si="23">((((L5*4.5)+(O5*0.5)+(S5*0.5)+(T5*4))/100)/22.025)*5/(45.36 * Formula_N) * 100</f>
        <v>0</v>
      </c>
      <c r="AB5" s="9">
        <f t="shared" ref="AB5:AB68" si="24">((((M5*12)+(Q5*8.5)+(U5*8.5)+(V5*6))/100)/22.025)*5/(45.36 * Formula_N) * 100</f>
        <v>0</v>
      </c>
      <c r="AC5" s="6">
        <f t="shared" ref="AC5:AC68" si="25">Y5+AA5</f>
        <v>0</v>
      </c>
      <c r="AD5" s="6">
        <f t="shared" ref="AD5:AD68" si="26">Z5+AB5</f>
        <v>0</v>
      </c>
      <c r="AE5" s="5">
        <f t="shared" ref="AE5:AE68" si="27">E5/Plantas_Poda_Por_Dia</f>
        <v>0</v>
      </c>
      <c r="AF5" s="5">
        <f>IF(Datos!F6="En_Bloque",0,IF(Datos!F6="Por_Surcos",IF(Datos!G6=1,E5/Plantas_Paliativa_Por_Dia,0),0))</f>
        <v>0</v>
      </c>
      <c r="AG5" s="5">
        <f t="shared" ref="AG5:AG68" si="28">E5/Plantas_Deshije_Por_Dia</f>
        <v>0</v>
      </c>
      <c r="AH5" s="5">
        <f t="shared" ref="AH5:AH68" si="29">X5+AC5+AD5</f>
        <v>0</v>
      </c>
      <c r="AI5" s="5">
        <f t="shared" ref="AI5:AI68" si="30">IFERROR(X5*1600/E5,0)</f>
        <v>0</v>
      </c>
      <c r="AJ5" s="5">
        <f t="shared" ref="AJ5:AJ68" si="31">IFERROR(AC5*1600/F5,0)</f>
        <v>0</v>
      </c>
      <c r="AK5" s="5">
        <f t="shared" ref="AK5:AK68" si="32">IFERROR(AD5*1600/G5,0)</f>
        <v>0</v>
      </c>
      <c r="AL5" s="5">
        <f t="shared" ref="AL5:AL68" si="33">INT(IF(AI5&gt;0,IF(AI5&lt;2,1,IF(AI5&gt;14,7,AI5/2))))</f>
        <v>0</v>
      </c>
      <c r="AM5" s="5">
        <f t="shared" ref="AM5:AM68" si="34">INT(IF(AJ5&gt;0,IF(AJ5&lt;2,1,IF(AJ5&gt;14,7,AJ5/2))))</f>
        <v>0</v>
      </c>
      <c r="AN5" s="5">
        <f t="shared" ref="AN5:AN68" si="35">INT(IF(AK5&gt;0,IF(AK5&lt;2,1,IF(AK5&gt;14,7,AK5/2))))</f>
        <v>0</v>
      </c>
      <c r="AO5" s="5">
        <f t="shared" ref="AO5:AO68" si="36">IFERROR(AI5/AL5,0)</f>
        <v>0</v>
      </c>
      <c r="AP5" s="5">
        <f t="shared" ref="AP5:AP68" si="37">IFERROR(AJ5/AM5,0)</f>
        <v>0</v>
      </c>
      <c r="AQ5" s="5">
        <f t="shared" ref="AQ5:AQ68" si="38">IFERROR(AK5/AN5,0)</f>
        <v>0</v>
      </c>
      <c r="AR5" s="5">
        <f t="shared" si="10"/>
        <v>0</v>
      </c>
      <c r="AS5" s="6">
        <f>'Eficiencias &amp; Configuración'!B$12*Cálculos!C5</f>
        <v>0</v>
      </c>
      <c r="AT5" s="6">
        <f>IFERROR(('Eficiencias &amp; Configuración'!B$15*C5)*'Eficiencias &amp; Configuración'!B$14,0)</f>
        <v>0</v>
      </c>
      <c r="AU5">
        <f>C5*'Eficiencias &amp; Configuración'!B$16</f>
        <v>0</v>
      </c>
      <c r="AV5">
        <f>C5*'Eficiencias &amp; Configuración'!B$19</f>
        <v>0</v>
      </c>
      <c r="AW5">
        <f>(H5*Enfermedades_Crecimiento)*'Eficiencias &amp; Configuración'!B$18</f>
        <v>0</v>
      </c>
      <c r="AX5">
        <f>(I5+J5)*Enfermedades_Producción*'Eficiencias &amp; Configuración'!B$18</f>
        <v>0</v>
      </c>
      <c r="AY5" s="23">
        <f>W5*'Eficiencias &amp; Configuración'!B$24</f>
        <v>0</v>
      </c>
      <c r="AZ5" s="4">
        <f>(W5/5)*'Eficiencias &amp; Configuración'!B$25</f>
        <v>0</v>
      </c>
      <c r="BA5" s="5">
        <f t="shared" ref="BA5:BA68" si="39">AE5+AF5+AG5+AT5+AU5+AW5+AX5+AR5</f>
        <v>0</v>
      </c>
      <c r="BB5" s="4">
        <f t="shared" ref="BB5:BB68" si="40">BA5*Jornal</f>
        <v>0</v>
      </c>
      <c r="BC5" s="4">
        <f t="shared" si="12"/>
        <v>0</v>
      </c>
      <c r="BD5" s="4">
        <f t="shared" ref="BD5:BD68" si="41">BC5+BB5</f>
        <v>0</v>
      </c>
      <c r="BE5" s="5">
        <f t="shared" ref="BE5:BE68" si="42">AZ5+AY5</f>
        <v>0</v>
      </c>
      <c r="BF5" s="5">
        <f t="shared" ref="BF5:BF68" si="43">BE5+BD5</f>
        <v>0</v>
      </c>
      <c r="BG5" s="5" t="e">
        <f t="shared" si="13"/>
        <v>#DIV/0!</v>
      </c>
      <c r="BH5" s="4">
        <f t="shared" si="14"/>
        <v>0</v>
      </c>
      <c r="BI5" s="4" t="e">
        <f t="shared" ref="BI5:BI68" si="44">BH5-(BF5+BG5)</f>
        <v>#DIV/0!</v>
      </c>
      <c r="BJ5" s="4"/>
      <c r="BK5" s="4"/>
      <c r="BL5" s="4"/>
    </row>
    <row r="6" spans="1:64" x14ac:dyDescent="0.25">
      <c r="A6" t="str">
        <f>Datos!A7</f>
        <v>Lote 3</v>
      </c>
      <c r="B6" s="6">
        <f>Datos!B7</f>
        <v>0</v>
      </c>
      <c r="C6">
        <f>_xlfn.XLOOKUP(UM,Hoja1!A$2:A$7,Hoja1!B$2:B$7)*B6</f>
        <v>0</v>
      </c>
      <c r="D6" s="9">
        <f>IFERROR((Metros2*Datos!B7/(Datos!D7*Datos!C7)),0)</f>
        <v>0</v>
      </c>
      <c r="E6" s="6">
        <f t="shared" si="15"/>
        <v>0</v>
      </c>
      <c r="F6" s="12">
        <f t="shared" si="16"/>
        <v>0</v>
      </c>
      <c r="G6" s="6">
        <f t="shared" si="17"/>
        <v>0</v>
      </c>
      <c r="H6">
        <f t="shared" si="18"/>
        <v>0</v>
      </c>
      <c r="I6">
        <f t="shared" si="19"/>
        <v>0</v>
      </c>
      <c r="J6">
        <f t="shared" si="20"/>
        <v>0</v>
      </c>
      <c r="K6" s="9">
        <f>IF(Ciclo="_3_años",
IF(Datos!F7="Por_Surcos",
IF(Datos!G7&gt;=1,D6/3,0),
IF(Datos!F7="En_Bloque",
IF(Datos!G7=1,D6,0),
0)),0)</f>
        <v>0</v>
      </c>
      <c r="L6" s="17">
        <f>IF(Ciclo="_3_años",
IF(Datos!F7="Por_Surcos",
IF(Datos!G7&gt;=2,D6/3,0),
IF(Datos!F7="En_Bloque",
IF(Datos!G7=2,D6,0),
0)),0)</f>
        <v>0</v>
      </c>
      <c r="M6" s="9">
        <f>IF(Ciclo="_3_años",
IF(Datos!F7="Por_Surcos",
IF(Datos!G7&gt;=3,D6/3,0),
IF(Datos!F7="En_Bloque",
IF(Datos!G7=3,D6,0),
0)),0)</f>
        <v>0</v>
      </c>
      <c r="N6" s="9">
        <f>IF(Ciclo="_4_años",
IF(Datos!F7="Por_Surcos",
IF(Datos!G7&gt;=1,D6/4,0),
IF(Datos!F7="En_Bloque",
IF(Datos!G7=1,D6,0),
0)),0)</f>
        <v>0</v>
      </c>
      <c r="O6" s="9">
        <f>IF(Ciclo="_4_años",
IF(Datos!F7="Por_Surcos",
IF(Datos!G7&gt;=2,D6/4,0),
IF(Datos!F7="En_Bloque",
IF(Datos!G7=2,D6,0),
0)),0)</f>
        <v>0</v>
      </c>
      <c r="P6" s="9">
        <f>IF(Ciclo="_4_años",
IF(Datos!F7="Por_Surcos",
IF(Datos!G7&gt;=3,D6/4,0),
IF(Datos!F7="En_Bloque",
IF(Datos!G7=3,D6,0),
0)),0)</f>
        <v>0</v>
      </c>
      <c r="Q6" s="9">
        <f>IF(Ciclo="_4_años",
IF(Datos!F7="Por_Surcos",
IF(Datos!G7&gt;=4,D6/4,0),
IF(Datos!F7="En_Bloque",
IF(Datos!G7=4,D6,0),
0)),0)</f>
        <v>0</v>
      </c>
      <c r="R6" s="9">
        <f>IF(Ciclo="_5_años",
IF(Datos!F7="Por_Surcos",
IF(Datos!G7&gt;=1,D6/5,0),
IF(Datos!F7="En_Bloque",
IF(Datos!G7=1,D6,0),
0)),0)</f>
        <v>0</v>
      </c>
      <c r="S6" s="9">
        <f>IF(Ciclo="_5_años",
IF(Datos!F7="Por_Surcos",
IF(Datos!G7&gt;=2,D6/5,0),
IF(Datos!F7="En_Bloque",
IF(Datos!G7=2,D6,0),
0)),0)</f>
        <v>0</v>
      </c>
      <c r="T6" s="9">
        <f>IF(Ciclo="_5_años",
IF(Datos!F7="Por_Surcos",
IF(Datos!G7&gt;=3,D6/5,0),
IF(Datos!F7="En_Bloque",
IF(Datos!G7=3,D6,0),
0)),0)</f>
        <v>0</v>
      </c>
      <c r="U6" s="9">
        <f>IF(Ciclo="_5_años",
IF(Datos!F7="Por_Surcos",
IF(Datos!G7&gt;=4,D6/5,0),
IF(Datos!F7="En_Bloque",
IF(Datos!G7=4,D6,0),
0)),0)</f>
        <v>0</v>
      </c>
      <c r="V6" s="9">
        <f>IF(Ciclo="_5_años",
IF(Datos!F7="Por_Surcos",
IF(Datos!G7&gt;=5,D6/5,0),
IF(Datos!F7="En_Bloque",
IF(Datos!G7=5,D6,0),
0)),0)</f>
        <v>0</v>
      </c>
      <c r="W6" s="9">
        <f>(((L6*4.5)+(M6*12)+(O6*0.5)+(P6*4)+(Q6*8.5)+(S6*0.5)+(T6*4)+(U6*8.5)+(V6*6))*Datos!E7)/100</f>
        <v>0</v>
      </c>
      <c r="X6" s="6">
        <f t="shared" si="21"/>
        <v>0</v>
      </c>
      <c r="Y6" s="9">
        <f t="shared" si="4"/>
        <v>0</v>
      </c>
      <c r="Z6" s="9">
        <f t="shared" si="22"/>
        <v>0</v>
      </c>
      <c r="AA6" s="6">
        <f t="shared" si="23"/>
        <v>0</v>
      </c>
      <c r="AB6" s="9">
        <f t="shared" si="24"/>
        <v>0</v>
      </c>
      <c r="AC6" s="6">
        <f t="shared" si="25"/>
        <v>0</v>
      </c>
      <c r="AD6" s="6">
        <f t="shared" si="26"/>
        <v>0</v>
      </c>
      <c r="AE6" s="5">
        <f t="shared" si="27"/>
        <v>0</v>
      </c>
      <c r="AF6" s="5">
        <f>IF(Datos!F7="En_Bloque",0,IF(Datos!F7="Por_Surcos",IF(Datos!G7=1,E6/Plantas_Paliativa_Por_Dia,0),0))</f>
        <v>0</v>
      </c>
      <c r="AG6" s="5">
        <f t="shared" si="28"/>
        <v>0</v>
      </c>
      <c r="AH6" s="5">
        <f t="shared" si="29"/>
        <v>0</v>
      </c>
      <c r="AI6" s="5">
        <f t="shared" si="30"/>
        <v>0</v>
      </c>
      <c r="AJ6" s="5">
        <f t="shared" si="31"/>
        <v>0</v>
      </c>
      <c r="AK6" s="5">
        <f t="shared" si="32"/>
        <v>0</v>
      </c>
      <c r="AL6" s="5">
        <f t="shared" si="33"/>
        <v>0</v>
      </c>
      <c r="AM6" s="5">
        <f t="shared" si="34"/>
        <v>0</v>
      </c>
      <c r="AN6" s="5">
        <f t="shared" si="35"/>
        <v>0</v>
      </c>
      <c r="AO6" s="5">
        <f t="shared" si="36"/>
        <v>0</v>
      </c>
      <c r="AP6" s="5">
        <f t="shared" si="37"/>
        <v>0</v>
      </c>
      <c r="AQ6" s="5">
        <f t="shared" si="38"/>
        <v>0</v>
      </c>
      <c r="AR6" s="5">
        <f t="shared" si="10"/>
        <v>0</v>
      </c>
      <c r="AS6" s="6">
        <f>'Eficiencias &amp; Configuración'!B$12*Cálculos!C6</f>
        <v>0</v>
      </c>
      <c r="AT6" s="6">
        <f>IFERROR(('Eficiencias &amp; Configuración'!B$15*C6)*'Eficiencias &amp; Configuración'!B$14,0)</f>
        <v>0</v>
      </c>
      <c r="AU6">
        <f>C6*'Eficiencias &amp; Configuración'!B$16</f>
        <v>0</v>
      </c>
      <c r="AV6">
        <f>C6*'Eficiencias &amp; Configuración'!B$19</f>
        <v>0</v>
      </c>
      <c r="AW6">
        <f>(H6*Enfermedades_Crecimiento)*'Eficiencias &amp; Configuración'!B$18</f>
        <v>0</v>
      </c>
      <c r="AX6">
        <f>(I6+J6)*Enfermedades_Producción*'Eficiencias &amp; Configuración'!B$18</f>
        <v>0</v>
      </c>
      <c r="AY6" s="23">
        <f>W6*'Eficiencias &amp; Configuración'!B$24</f>
        <v>0</v>
      </c>
      <c r="AZ6" s="4">
        <f>(W6/5)*'Eficiencias &amp; Configuración'!B$25</f>
        <v>0</v>
      </c>
      <c r="BA6" s="5">
        <f t="shared" si="39"/>
        <v>0</v>
      </c>
      <c r="BB6" s="4">
        <f t="shared" si="40"/>
        <v>0</v>
      </c>
      <c r="BC6" s="4">
        <f t="shared" si="12"/>
        <v>0</v>
      </c>
      <c r="BD6" s="4">
        <f t="shared" si="41"/>
        <v>0</v>
      </c>
      <c r="BE6" s="5">
        <f t="shared" si="42"/>
        <v>0</v>
      </c>
      <c r="BF6" s="5">
        <f t="shared" si="43"/>
        <v>0</v>
      </c>
      <c r="BG6" s="5" t="e">
        <f t="shared" si="13"/>
        <v>#DIV/0!</v>
      </c>
      <c r="BH6" s="4">
        <f t="shared" si="14"/>
        <v>0</v>
      </c>
      <c r="BI6" s="4" t="e">
        <f t="shared" si="44"/>
        <v>#DIV/0!</v>
      </c>
      <c r="BJ6" s="4"/>
      <c r="BK6" s="4"/>
      <c r="BL6" s="4"/>
    </row>
    <row r="7" spans="1:64" x14ac:dyDescent="0.25">
      <c r="A7" t="str">
        <f>Datos!A8</f>
        <v>Lote 4</v>
      </c>
      <c r="B7" s="6">
        <f>Datos!B8</f>
        <v>0</v>
      </c>
      <c r="C7">
        <f>_xlfn.XLOOKUP(UM,Hoja1!A$2:A$7,Hoja1!B$2:B$7)*B7</f>
        <v>0</v>
      </c>
      <c r="D7" s="9">
        <f>IFERROR((Metros2*Datos!B8/(Datos!D8*Datos!C8)),0)</f>
        <v>0</v>
      </c>
      <c r="E7" s="6">
        <f t="shared" si="15"/>
        <v>0</v>
      </c>
      <c r="F7" s="12">
        <f t="shared" si="16"/>
        <v>0</v>
      </c>
      <c r="G7" s="6">
        <f t="shared" si="17"/>
        <v>0</v>
      </c>
      <c r="H7">
        <f t="shared" si="18"/>
        <v>0</v>
      </c>
      <c r="I7">
        <f t="shared" si="19"/>
        <v>0</v>
      </c>
      <c r="J7">
        <f t="shared" si="20"/>
        <v>0</v>
      </c>
      <c r="K7" s="9">
        <f>IF(Ciclo="_3_años",
IF(Datos!F8="Por_Surcos",
IF(Datos!G8&gt;=1,D7/3,0),
IF(Datos!F8="En_Bloque",
IF(Datos!G8=1,D7,0),
0)),0)</f>
        <v>0</v>
      </c>
      <c r="L7" s="17">
        <f>IF(Ciclo="_3_años",
IF(Datos!F8="Por_Surcos",
IF(Datos!G8&gt;=2,D7/3,0),
IF(Datos!F8="En_Bloque",
IF(Datos!G8=2,D7,0),
0)),0)</f>
        <v>0</v>
      </c>
      <c r="M7" s="9">
        <f>IF(Ciclo="_3_años",
IF(Datos!F8="Por_Surcos",
IF(Datos!G8&gt;=3,D7/3,0),
IF(Datos!F8="En_Bloque",
IF(Datos!G8=3,D7,0),
0)),0)</f>
        <v>0</v>
      </c>
      <c r="N7" s="9">
        <f>IF(Ciclo="_4_años",
IF(Datos!F8="Por_Surcos",
IF(Datos!G8&gt;=1,D7/4,0),
IF(Datos!F8="En_Bloque",
IF(Datos!G8=1,D7,0),
0)),0)</f>
        <v>0</v>
      </c>
      <c r="O7" s="9">
        <f>IF(Ciclo="_4_años",
IF(Datos!F8="Por_Surcos",
IF(Datos!G8&gt;=2,D7/4,0),
IF(Datos!F8="En_Bloque",
IF(Datos!G8=2,D7,0),
0)),0)</f>
        <v>0</v>
      </c>
      <c r="P7" s="9">
        <f>IF(Ciclo="_4_años",
IF(Datos!F8="Por_Surcos",
IF(Datos!G8&gt;=3,D7/4,0),
IF(Datos!F8="En_Bloque",
IF(Datos!G8=3,D7,0),
0)),0)</f>
        <v>0</v>
      </c>
      <c r="Q7" s="9">
        <f>IF(Ciclo="_4_años",
IF(Datos!F8="Por_Surcos",
IF(Datos!G8&gt;=4,D7/4,0),
IF(Datos!F8="En_Bloque",
IF(Datos!G8=4,D7,0),
0)),0)</f>
        <v>0</v>
      </c>
      <c r="R7" s="9">
        <f>IF(Ciclo="_5_años",
IF(Datos!F8="Por_Surcos",
IF(Datos!G8&gt;=1,D7/5,0),
IF(Datos!F8="En_Bloque",
IF(Datos!G8=1,D7,0),
0)),0)</f>
        <v>0</v>
      </c>
      <c r="S7" s="9">
        <f>IF(Ciclo="_5_años",
IF(Datos!F8="Por_Surcos",
IF(Datos!G8&gt;=2,D7/5,0),
IF(Datos!F8="En_Bloque",
IF(Datos!G8=2,D7,0),
0)),0)</f>
        <v>0</v>
      </c>
      <c r="T7" s="9">
        <f>IF(Ciclo="_5_años",
IF(Datos!F8="Por_Surcos",
IF(Datos!G8&gt;=3,D7/5,0),
IF(Datos!F8="En_Bloque",
IF(Datos!G8=3,D7,0),
0)),0)</f>
        <v>0</v>
      </c>
      <c r="U7" s="9">
        <f>IF(Ciclo="_5_años",
IF(Datos!F8="Por_Surcos",
IF(Datos!G8&gt;=4,D7/5,0),
IF(Datos!F8="En_Bloque",
IF(Datos!G8=4,D7,0),
0)),0)</f>
        <v>0</v>
      </c>
      <c r="V7" s="9">
        <f>IF(Ciclo="_5_años",
IF(Datos!F8="Por_Surcos",
IF(Datos!G8&gt;=5,D7/5,0),
IF(Datos!F8="En_Bloque",
IF(Datos!G8=5,D7,0),
0)),0)</f>
        <v>0</v>
      </c>
      <c r="W7" s="9">
        <f>(((L7*4.5)+(M7*12)+(O7*0.5)+(P7*4)+(Q7*8.5)+(S7*0.5)+(T7*4)+(U7*8.5)+(V7*6))*Datos!E8)/100</f>
        <v>0</v>
      </c>
      <c r="X7" s="6">
        <f t="shared" si="21"/>
        <v>0</v>
      </c>
      <c r="Y7" s="9">
        <f t="shared" si="4"/>
        <v>0</v>
      </c>
      <c r="Z7" s="9">
        <f t="shared" si="22"/>
        <v>0</v>
      </c>
      <c r="AA7" s="6">
        <f t="shared" si="23"/>
        <v>0</v>
      </c>
      <c r="AB7" s="9">
        <f t="shared" si="24"/>
        <v>0</v>
      </c>
      <c r="AC7" s="6">
        <f t="shared" si="25"/>
        <v>0</v>
      </c>
      <c r="AD7" s="6">
        <f t="shared" si="26"/>
        <v>0</v>
      </c>
      <c r="AE7" s="5">
        <f t="shared" si="27"/>
        <v>0</v>
      </c>
      <c r="AF7" s="5">
        <f>IF(Datos!F8="En_Bloque",0,IF(Datos!F8="Por_Surcos",IF(Datos!G8=1,E7/Plantas_Paliativa_Por_Dia,0),0))</f>
        <v>0</v>
      </c>
      <c r="AG7" s="5">
        <f t="shared" si="28"/>
        <v>0</v>
      </c>
      <c r="AH7" s="5">
        <f t="shared" si="29"/>
        <v>0</v>
      </c>
      <c r="AI7" s="5">
        <f t="shared" si="30"/>
        <v>0</v>
      </c>
      <c r="AJ7" s="5">
        <f t="shared" si="31"/>
        <v>0</v>
      </c>
      <c r="AK7" s="5">
        <f t="shared" si="32"/>
        <v>0</v>
      </c>
      <c r="AL7" s="5">
        <f t="shared" si="33"/>
        <v>0</v>
      </c>
      <c r="AM7" s="5">
        <f t="shared" si="34"/>
        <v>0</v>
      </c>
      <c r="AN7" s="5">
        <f t="shared" si="35"/>
        <v>0</v>
      </c>
      <c r="AO7" s="5">
        <f t="shared" si="36"/>
        <v>0</v>
      </c>
      <c r="AP7" s="5">
        <f t="shared" si="37"/>
        <v>0</v>
      </c>
      <c r="AQ7" s="5">
        <f t="shared" si="38"/>
        <v>0</v>
      </c>
      <c r="AR7" s="5">
        <f t="shared" si="10"/>
        <v>0</v>
      </c>
      <c r="AS7" s="6">
        <f>'Eficiencias &amp; Configuración'!B$12*Cálculos!C7</f>
        <v>0</v>
      </c>
      <c r="AT7" s="6">
        <f>IFERROR(('Eficiencias &amp; Configuración'!B$15*C7)*'Eficiencias &amp; Configuración'!B$14,0)</f>
        <v>0</v>
      </c>
      <c r="AU7">
        <f>C7*'Eficiencias &amp; Configuración'!B$16</f>
        <v>0</v>
      </c>
      <c r="AV7">
        <f>C7*'Eficiencias &amp; Configuración'!B$19</f>
        <v>0</v>
      </c>
      <c r="AW7">
        <f>(H7*Enfermedades_Crecimiento)*'Eficiencias &amp; Configuración'!B$18</f>
        <v>0</v>
      </c>
      <c r="AX7">
        <f>(I7+J7)*Enfermedades_Producción*'Eficiencias &amp; Configuración'!B$18</f>
        <v>0</v>
      </c>
      <c r="AY7" s="23">
        <f>W7*'Eficiencias &amp; Configuración'!B$24</f>
        <v>0</v>
      </c>
      <c r="AZ7" s="4">
        <f>(W7/5)*'Eficiencias &amp; Configuración'!B$25</f>
        <v>0</v>
      </c>
      <c r="BA7" s="5">
        <f t="shared" si="39"/>
        <v>0</v>
      </c>
      <c r="BB7" s="4">
        <f t="shared" si="40"/>
        <v>0</v>
      </c>
      <c r="BC7" s="4">
        <f t="shared" si="12"/>
        <v>0</v>
      </c>
      <c r="BD7" s="4">
        <f t="shared" si="41"/>
        <v>0</v>
      </c>
      <c r="BE7" s="5">
        <f t="shared" si="42"/>
        <v>0</v>
      </c>
      <c r="BF7" s="5">
        <f t="shared" si="43"/>
        <v>0</v>
      </c>
      <c r="BG7" s="5" t="e">
        <f t="shared" si="13"/>
        <v>#DIV/0!</v>
      </c>
      <c r="BH7" s="4">
        <f t="shared" si="14"/>
        <v>0</v>
      </c>
      <c r="BI7" s="4" t="e">
        <f t="shared" si="44"/>
        <v>#DIV/0!</v>
      </c>
      <c r="BJ7" s="4"/>
      <c r="BK7" s="4"/>
      <c r="BL7" s="4"/>
    </row>
    <row r="8" spans="1:64" x14ac:dyDescent="0.25">
      <c r="A8" t="str">
        <f>Datos!A9</f>
        <v>Lote 5</v>
      </c>
      <c r="B8" s="6">
        <f>Datos!B9</f>
        <v>0</v>
      </c>
      <c r="C8">
        <f>_xlfn.XLOOKUP(UM,Hoja1!A$2:A$7,Hoja1!B$2:B$7)*B8</f>
        <v>0</v>
      </c>
      <c r="D8" s="9">
        <f>IFERROR((Metros2*Datos!B9/(Datos!D9*Datos!C9)),0)</f>
        <v>0</v>
      </c>
      <c r="E8" s="6">
        <f t="shared" si="15"/>
        <v>0</v>
      </c>
      <c r="F8" s="12">
        <f t="shared" si="16"/>
        <v>0</v>
      </c>
      <c r="G8" s="6">
        <f t="shared" si="17"/>
        <v>0</v>
      </c>
      <c r="H8">
        <f t="shared" si="18"/>
        <v>0</v>
      </c>
      <c r="I8">
        <f t="shared" si="19"/>
        <v>0</v>
      </c>
      <c r="J8">
        <f t="shared" si="20"/>
        <v>0</v>
      </c>
      <c r="K8" s="9">
        <f>IF(Ciclo="_3_años",
IF(Datos!F9="Por_Surcos",
IF(Datos!G9&gt;=1,D8/3,0),
IF(Datos!F9="En_Bloque",
IF(Datos!G9=1,D8,0),
0)),0)</f>
        <v>0</v>
      </c>
      <c r="L8" s="17">
        <f>IF(Ciclo="_3_años",
IF(Datos!F9="Por_Surcos",
IF(Datos!G9&gt;=2,D8/3,0),
IF(Datos!F9="En_Bloque",
IF(Datos!G9=2,D8,0),
0)),0)</f>
        <v>0</v>
      </c>
      <c r="M8" s="9">
        <f>IF(Ciclo="_3_años",
IF(Datos!F9="Por_Surcos",
IF(Datos!G9&gt;=3,D8/3,0),
IF(Datos!F9="En_Bloque",
IF(Datos!G9=3,D8,0),
0)),0)</f>
        <v>0</v>
      </c>
      <c r="N8" s="9">
        <f>IF(Ciclo="_4_años",
IF(Datos!F9="Por_Surcos",
IF(Datos!G9&gt;=1,D8/4,0),
IF(Datos!F9="En_Bloque",
IF(Datos!G9=1,D8,0),
0)),0)</f>
        <v>0</v>
      </c>
      <c r="O8" s="9">
        <f>IF(Ciclo="_4_años",
IF(Datos!F9="Por_Surcos",
IF(Datos!G9&gt;=2,D8/4,0),
IF(Datos!F9="En_Bloque",
IF(Datos!G9=2,D8,0),
0)),0)</f>
        <v>0</v>
      </c>
      <c r="P8" s="9">
        <f>IF(Ciclo="_4_años",
IF(Datos!F9="Por_Surcos",
IF(Datos!G9&gt;=3,D8/4,0),
IF(Datos!F9="En_Bloque",
IF(Datos!G9=3,D8,0),
0)),0)</f>
        <v>0</v>
      </c>
      <c r="Q8" s="9">
        <f>IF(Ciclo="_4_años",
IF(Datos!F9="Por_Surcos",
IF(Datos!G9&gt;=4,D8/4,0),
IF(Datos!F9="En_Bloque",
IF(Datos!G9=4,D8,0),
0)),0)</f>
        <v>0</v>
      </c>
      <c r="R8" s="9">
        <f>IF(Ciclo="_5_años",
IF(Datos!F9="Por_Surcos",
IF(Datos!G9&gt;=1,D8/5,0),
IF(Datos!F9="En_Bloque",
IF(Datos!G9=1,D8,0),
0)),0)</f>
        <v>0</v>
      </c>
      <c r="S8" s="9">
        <f>IF(Ciclo="_5_años",
IF(Datos!F9="Por_Surcos",
IF(Datos!G9&gt;=2,D8/5,0),
IF(Datos!F9="En_Bloque",
IF(Datos!G9=2,D8,0),
0)),0)</f>
        <v>0</v>
      </c>
      <c r="T8" s="9">
        <f>IF(Ciclo="_5_años",
IF(Datos!F9="Por_Surcos",
IF(Datos!G9&gt;=3,D8/5,0),
IF(Datos!F9="En_Bloque",
IF(Datos!G9=3,D8,0),
0)),0)</f>
        <v>0</v>
      </c>
      <c r="U8" s="9">
        <f>IF(Ciclo="_5_años",
IF(Datos!F9="Por_Surcos",
IF(Datos!G9&gt;=4,D8/5,0),
IF(Datos!F9="En_Bloque",
IF(Datos!G9=4,D8,0),
0)),0)</f>
        <v>0</v>
      </c>
      <c r="V8" s="9">
        <f>IF(Ciclo="_5_años",
IF(Datos!F9="Por_Surcos",
IF(Datos!G9&gt;=5,D8/5,0),
IF(Datos!F9="En_Bloque",
IF(Datos!G9=5,D8,0),
0)),0)</f>
        <v>0</v>
      </c>
      <c r="W8" s="9">
        <f>(((L8*4.5)+(M8*12)+(O8*0.5)+(P8*4)+(Q8*8.5)+(S8*0.5)+(T8*4)+(U8*8.5)+(V8*6))*Datos!E9)/100</f>
        <v>0</v>
      </c>
      <c r="X8" s="6">
        <f t="shared" si="21"/>
        <v>0</v>
      </c>
      <c r="Y8" s="9">
        <f t="shared" si="4"/>
        <v>0</v>
      </c>
      <c r="Z8" s="9">
        <f t="shared" si="22"/>
        <v>0</v>
      </c>
      <c r="AA8" s="6">
        <f t="shared" si="23"/>
        <v>0</v>
      </c>
      <c r="AB8" s="9">
        <f t="shared" si="24"/>
        <v>0</v>
      </c>
      <c r="AC8" s="6">
        <f t="shared" si="25"/>
        <v>0</v>
      </c>
      <c r="AD8" s="6">
        <f t="shared" si="26"/>
        <v>0</v>
      </c>
      <c r="AE8" s="5">
        <f t="shared" si="27"/>
        <v>0</v>
      </c>
      <c r="AF8" s="5">
        <f>IF(Datos!F9="En_Bloque",0,IF(Datos!F9="Por_Surcos",IF(Datos!G9=1,E8/Plantas_Paliativa_Por_Dia,0),0))</f>
        <v>0</v>
      </c>
      <c r="AG8" s="5">
        <f t="shared" si="28"/>
        <v>0</v>
      </c>
      <c r="AH8" s="5">
        <f t="shared" si="29"/>
        <v>0</v>
      </c>
      <c r="AI8" s="5">
        <f t="shared" si="30"/>
        <v>0</v>
      </c>
      <c r="AJ8" s="5">
        <f t="shared" si="31"/>
        <v>0</v>
      </c>
      <c r="AK8" s="5">
        <f t="shared" si="32"/>
        <v>0</v>
      </c>
      <c r="AL8" s="5">
        <f t="shared" si="33"/>
        <v>0</v>
      </c>
      <c r="AM8" s="5">
        <f t="shared" si="34"/>
        <v>0</v>
      </c>
      <c r="AN8" s="5">
        <f t="shared" si="35"/>
        <v>0</v>
      </c>
      <c r="AO8" s="5">
        <f t="shared" si="36"/>
        <v>0</v>
      </c>
      <c r="AP8" s="5">
        <f t="shared" si="37"/>
        <v>0</v>
      </c>
      <c r="AQ8" s="5">
        <f t="shared" si="38"/>
        <v>0</v>
      </c>
      <c r="AR8" s="5">
        <f t="shared" si="10"/>
        <v>0</v>
      </c>
      <c r="AS8" s="6">
        <f>'Eficiencias &amp; Configuración'!B$12*Cálculos!C8</f>
        <v>0</v>
      </c>
      <c r="AT8" s="6">
        <f>IFERROR(('Eficiencias &amp; Configuración'!B$15*C8)*'Eficiencias &amp; Configuración'!B$14,0)</f>
        <v>0</v>
      </c>
      <c r="AU8">
        <f>C8*'Eficiencias &amp; Configuración'!B$16</f>
        <v>0</v>
      </c>
      <c r="AV8">
        <f>C8*'Eficiencias &amp; Configuración'!B$19</f>
        <v>0</v>
      </c>
      <c r="AW8">
        <f>(H8*Enfermedades_Crecimiento)*'Eficiencias &amp; Configuración'!B$18</f>
        <v>0</v>
      </c>
      <c r="AX8">
        <f>(I8+J8)*Enfermedades_Producción*'Eficiencias &amp; Configuración'!B$18</f>
        <v>0</v>
      </c>
      <c r="AY8" s="23">
        <f>W8*'Eficiencias &amp; Configuración'!B$24</f>
        <v>0</v>
      </c>
      <c r="AZ8" s="4">
        <f>(W8/5)*'Eficiencias &amp; Configuración'!B$25</f>
        <v>0</v>
      </c>
      <c r="BA8" s="5">
        <f t="shared" si="39"/>
        <v>0</v>
      </c>
      <c r="BB8" s="4">
        <f t="shared" si="40"/>
        <v>0</v>
      </c>
      <c r="BC8" s="4">
        <f t="shared" si="12"/>
        <v>0</v>
      </c>
      <c r="BD8" s="4">
        <f t="shared" si="41"/>
        <v>0</v>
      </c>
      <c r="BE8" s="5">
        <f t="shared" si="42"/>
        <v>0</v>
      </c>
      <c r="BF8" s="5">
        <f t="shared" si="43"/>
        <v>0</v>
      </c>
      <c r="BG8" s="5" t="e">
        <f t="shared" si="13"/>
        <v>#DIV/0!</v>
      </c>
      <c r="BH8" s="4">
        <f t="shared" si="14"/>
        <v>0</v>
      </c>
      <c r="BI8" s="4" t="e">
        <f t="shared" si="44"/>
        <v>#DIV/0!</v>
      </c>
      <c r="BJ8" s="4"/>
      <c r="BK8" s="4"/>
      <c r="BL8" s="4"/>
    </row>
    <row r="9" spans="1:64" x14ac:dyDescent="0.25">
      <c r="A9" t="str">
        <f>Datos!A10</f>
        <v>Lote 6</v>
      </c>
      <c r="B9" s="6">
        <f>Datos!B10</f>
        <v>0</v>
      </c>
      <c r="C9">
        <f>_xlfn.XLOOKUP(UM,Hoja1!A$2:A$7,Hoja1!B$2:B$7)*B9</f>
        <v>0</v>
      </c>
      <c r="D9" s="9">
        <f>IFERROR((Metros2*Datos!B10/(Datos!D10*Datos!C10)),0)</f>
        <v>0</v>
      </c>
      <c r="E9" s="6">
        <f t="shared" si="15"/>
        <v>0</v>
      </c>
      <c r="F9" s="12">
        <f t="shared" si="16"/>
        <v>0</v>
      </c>
      <c r="G9" s="6">
        <f t="shared" si="17"/>
        <v>0</v>
      </c>
      <c r="H9">
        <f t="shared" si="18"/>
        <v>0</v>
      </c>
      <c r="I9">
        <f t="shared" si="19"/>
        <v>0</v>
      </c>
      <c r="J9">
        <f t="shared" si="20"/>
        <v>0</v>
      </c>
      <c r="K9" s="9">
        <f>IF(Ciclo="_3_años",
IF(Datos!F10="Por_Surcos",
IF(Datos!G10&gt;=1,D9/3,0),
IF(Datos!F10="En_Bloque",
IF(Datos!G10=1,D9,0),
0)),0)</f>
        <v>0</v>
      </c>
      <c r="L9" s="17">
        <f>IF(Ciclo="_3_años",
IF(Datos!F10="Por_Surcos",
IF(Datos!G10&gt;=2,D9/3,0),
IF(Datos!F10="En_Bloque",
IF(Datos!G10=2,D9,0),
0)),0)</f>
        <v>0</v>
      </c>
      <c r="M9" s="9">
        <f>IF(Ciclo="_3_años",
IF(Datos!F10="Por_Surcos",
IF(Datos!G10&gt;=3,D9/3,0),
IF(Datos!F10="En_Bloque",
IF(Datos!G10=3,D9,0),
0)),0)</f>
        <v>0</v>
      </c>
      <c r="N9" s="9">
        <f>IF(Ciclo="_4_años",
IF(Datos!F10="Por_Surcos",
IF(Datos!G10&gt;=1,D9/4,0),
IF(Datos!F10="En_Bloque",
IF(Datos!G10=1,D9,0),
0)),0)</f>
        <v>0</v>
      </c>
      <c r="O9" s="9">
        <f>IF(Ciclo="_4_años",
IF(Datos!F10="Por_Surcos",
IF(Datos!G10&gt;=2,D9/4,0),
IF(Datos!F10="En_Bloque",
IF(Datos!G10=2,D9,0),
0)),0)</f>
        <v>0</v>
      </c>
      <c r="P9" s="9">
        <f>IF(Ciclo="_4_años",
IF(Datos!F10="Por_Surcos",
IF(Datos!G10&gt;=3,D9/4,0),
IF(Datos!F10="En_Bloque",
IF(Datos!G10=3,D9,0),
0)),0)</f>
        <v>0</v>
      </c>
      <c r="Q9" s="9">
        <f>IF(Ciclo="_4_años",
IF(Datos!F10="Por_Surcos",
IF(Datos!G10&gt;=4,D9/4,0),
IF(Datos!F10="En_Bloque",
IF(Datos!G10=4,D9,0),
0)),0)</f>
        <v>0</v>
      </c>
      <c r="R9" s="9">
        <f>IF(Ciclo="_5_años",
IF(Datos!F10="Por_Surcos",
IF(Datos!G10&gt;=1,D9/5,0),
IF(Datos!F10="En_Bloque",
IF(Datos!G10=1,D9,0),
0)),0)</f>
        <v>0</v>
      </c>
      <c r="S9" s="9">
        <f>IF(Ciclo="_5_años",
IF(Datos!F10="Por_Surcos",
IF(Datos!G10&gt;=2,D9/5,0),
IF(Datos!F10="En_Bloque",
IF(Datos!G10=2,D9,0),
0)),0)</f>
        <v>0</v>
      </c>
      <c r="T9" s="9">
        <f>IF(Ciclo="_5_años",
IF(Datos!F10="Por_Surcos",
IF(Datos!G10&gt;=3,D9/5,0),
IF(Datos!F10="En_Bloque",
IF(Datos!G10=3,D9,0),
0)),0)</f>
        <v>0</v>
      </c>
      <c r="U9" s="9">
        <f>IF(Ciclo="_5_años",
IF(Datos!F10="Por_Surcos",
IF(Datos!G10&gt;=4,D9/5,0),
IF(Datos!F10="En_Bloque",
IF(Datos!G10=4,D9,0),
0)),0)</f>
        <v>0</v>
      </c>
      <c r="V9" s="9">
        <f>IF(Ciclo="_5_años",
IF(Datos!F10="Por_Surcos",
IF(Datos!G10&gt;=5,D9/5,0),
IF(Datos!F10="En_Bloque",
IF(Datos!G10=5,D9,0),
0)),0)</f>
        <v>0</v>
      </c>
      <c r="W9" s="9">
        <f>(((L9*4.5)+(M9*12)+(O9*0.5)+(P9*4)+(Q9*8.5)+(S9*0.5)+(T9*4)+(U9*8.5)+(V9*6))*Datos!E10)/100</f>
        <v>0</v>
      </c>
      <c r="X9" s="6">
        <f t="shared" si="21"/>
        <v>0</v>
      </c>
      <c r="Y9" s="9">
        <f t="shared" si="4"/>
        <v>0</v>
      </c>
      <c r="Z9" s="9">
        <f t="shared" si="22"/>
        <v>0</v>
      </c>
      <c r="AA9" s="6">
        <f t="shared" si="23"/>
        <v>0</v>
      </c>
      <c r="AB9" s="9">
        <f t="shared" si="24"/>
        <v>0</v>
      </c>
      <c r="AC9" s="6">
        <f t="shared" si="25"/>
        <v>0</v>
      </c>
      <c r="AD9" s="6">
        <f t="shared" si="26"/>
        <v>0</v>
      </c>
      <c r="AE9" s="5">
        <f t="shared" si="27"/>
        <v>0</v>
      </c>
      <c r="AF9" s="5">
        <f>IF(Datos!F10="En_Bloque",0,IF(Datos!F10="Por_Surcos",IF(Datos!G10=1,E9/Plantas_Paliativa_Por_Dia,0),0))</f>
        <v>0</v>
      </c>
      <c r="AG9" s="5">
        <f t="shared" si="28"/>
        <v>0</v>
      </c>
      <c r="AH9" s="5">
        <f t="shared" si="29"/>
        <v>0</v>
      </c>
      <c r="AI9" s="5">
        <f t="shared" si="30"/>
        <v>0</v>
      </c>
      <c r="AJ9" s="5">
        <f t="shared" si="31"/>
        <v>0</v>
      </c>
      <c r="AK9" s="5">
        <f t="shared" si="32"/>
        <v>0</v>
      </c>
      <c r="AL9" s="5">
        <f t="shared" si="33"/>
        <v>0</v>
      </c>
      <c r="AM9" s="5">
        <f t="shared" si="34"/>
        <v>0</v>
      </c>
      <c r="AN9" s="5">
        <f t="shared" si="35"/>
        <v>0</v>
      </c>
      <c r="AO9" s="5">
        <f t="shared" si="36"/>
        <v>0</v>
      </c>
      <c r="AP9" s="5">
        <f t="shared" si="37"/>
        <v>0</v>
      </c>
      <c r="AQ9" s="5">
        <f t="shared" si="38"/>
        <v>0</v>
      </c>
      <c r="AR9" s="5">
        <f t="shared" si="10"/>
        <v>0</v>
      </c>
      <c r="AS9" s="6">
        <f>'Eficiencias &amp; Configuración'!B$12*Cálculos!C9</f>
        <v>0</v>
      </c>
      <c r="AT9" s="6">
        <f>IFERROR(('Eficiencias &amp; Configuración'!B$15*C9)*'Eficiencias &amp; Configuración'!B$14,0)</f>
        <v>0</v>
      </c>
      <c r="AU9">
        <f>C9*'Eficiencias &amp; Configuración'!B$16</f>
        <v>0</v>
      </c>
      <c r="AV9">
        <f>C9*'Eficiencias &amp; Configuración'!B$19</f>
        <v>0</v>
      </c>
      <c r="AW9">
        <f>(H9*Enfermedades_Crecimiento)*'Eficiencias &amp; Configuración'!B$18</f>
        <v>0</v>
      </c>
      <c r="AX9">
        <f>(I9+J9)*Enfermedades_Producción*'Eficiencias &amp; Configuración'!B$18</f>
        <v>0</v>
      </c>
      <c r="AY9" s="23">
        <f>W9*'Eficiencias &amp; Configuración'!B$24</f>
        <v>0</v>
      </c>
      <c r="AZ9" s="4">
        <f>(W9/5)*'Eficiencias &amp; Configuración'!B$25</f>
        <v>0</v>
      </c>
      <c r="BA9" s="5">
        <f t="shared" si="39"/>
        <v>0</v>
      </c>
      <c r="BB9" s="4">
        <f t="shared" si="40"/>
        <v>0</v>
      </c>
      <c r="BC9" s="4">
        <f t="shared" si="12"/>
        <v>0</v>
      </c>
      <c r="BD9" s="4">
        <f t="shared" si="41"/>
        <v>0</v>
      </c>
      <c r="BE9" s="5">
        <f t="shared" si="42"/>
        <v>0</v>
      </c>
      <c r="BF9" s="5">
        <f t="shared" si="43"/>
        <v>0</v>
      </c>
      <c r="BG9" s="5" t="e">
        <f t="shared" si="13"/>
        <v>#DIV/0!</v>
      </c>
      <c r="BH9" s="4">
        <f t="shared" si="14"/>
        <v>0</v>
      </c>
      <c r="BI9" s="4" t="e">
        <f t="shared" si="44"/>
        <v>#DIV/0!</v>
      </c>
      <c r="BJ9" s="4"/>
      <c r="BK9" s="4"/>
      <c r="BL9" s="4"/>
    </row>
    <row r="10" spans="1:64" x14ac:dyDescent="0.25">
      <c r="A10" t="str">
        <f>Datos!A11</f>
        <v>Lote 7</v>
      </c>
      <c r="B10" s="6">
        <f>Datos!B11</f>
        <v>0</v>
      </c>
      <c r="C10">
        <f>_xlfn.XLOOKUP(UM,Hoja1!A$2:A$7,Hoja1!B$2:B$7)*B10</f>
        <v>0</v>
      </c>
      <c r="D10" s="9">
        <f>IFERROR((Metros2*Datos!B11/(Datos!D11*Datos!C11)),0)</f>
        <v>0</v>
      </c>
      <c r="E10" s="6">
        <f t="shared" si="15"/>
        <v>0</v>
      </c>
      <c r="F10" s="12">
        <f t="shared" si="16"/>
        <v>0</v>
      </c>
      <c r="G10" s="6">
        <f t="shared" si="17"/>
        <v>0</v>
      </c>
      <c r="H10">
        <f t="shared" si="18"/>
        <v>0</v>
      </c>
      <c r="I10">
        <f t="shared" si="19"/>
        <v>0</v>
      </c>
      <c r="J10">
        <f t="shared" si="20"/>
        <v>0</v>
      </c>
      <c r="K10" s="9">
        <f>IF(Ciclo="_3_años",
IF(Datos!F11="Por_Surcos",
IF(Datos!G11&gt;=1,D10/3,0),
IF(Datos!F11="En_Bloque",
IF(Datos!G11=1,D10,0),
0)),0)</f>
        <v>0</v>
      </c>
      <c r="L10" s="17">
        <f>IF(Ciclo="_3_años",
IF(Datos!F11="Por_Surcos",
IF(Datos!G11&gt;=2,D10/3,0),
IF(Datos!F11="En_Bloque",
IF(Datos!G11=2,D10,0),
0)),0)</f>
        <v>0</v>
      </c>
      <c r="M10" s="9">
        <f>IF(Ciclo="_3_años",
IF(Datos!F11="Por_Surcos",
IF(Datos!G11&gt;=3,D10/3,0),
IF(Datos!F11="En_Bloque",
IF(Datos!G11=3,D10,0),
0)),0)</f>
        <v>0</v>
      </c>
      <c r="N10" s="9">
        <f>IF(Ciclo="_4_años",
IF(Datos!F11="Por_Surcos",
IF(Datos!G11&gt;=1,D10/4,0),
IF(Datos!F11="En_Bloque",
IF(Datos!G11=1,D10,0),
0)),0)</f>
        <v>0</v>
      </c>
      <c r="O10" s="9">
        <f>IF(Ciclo="_4_años",
IF(Datos!F11="Por_Surcos",
IF(Datos!G11&gt;=2,D10/4,0),
IF(Datos!F11="En_Bloque",
IF(Datos!G11=2,D10,0),
0)),0)</f>
        <v>0</v>
      </c>
      <c r="P10" s="9">
        <f>IF(Ciclo="_4_años",
IF(Datos!F11="Por_Surcos",
IF(Datos!G11&gt;=3,D10/4,0),
IF(Datos!F11="En_Bloque",
IF(Datos!G11=3,D10,0),
0)),0)</f>
        <v>0</v>
      </c>
      <c r="Q10" s="9">
        <f>IF(Ciclo="_4_años",
IF(Datos!F11="Por_Surcos",
IF(Datos!G11&gt;=4,D10/4,0),
IF(Datos!F11="En_Bloque",
IF(Datos!G11=4,D10,0),
0)),0)</f>
        <v>0</v>
      </c>
      <c r="R10" s="9">
        <f>IF(Ciclo="_5_años",
IF(Datos!F11="Por_Surcos",
IF(Datos!G11&gt;=1,D10/5,0),
IF(Datos!F11="En_Bloque",
IF(Datos!G11=1,D10,0),
0)),0)</f>
        <v>0</v>
      </c>
      <c r="S10" s="9">
        <f>IF(Ciclo="_5_años",
IF(Datos!F11="Por_Surcos",
IF(Datos!G11&gt;=2,D10/5,0),
IF(Datos!F11="En_Bloque",
IF(Datos!G11=2,D10,0),
0)),0)</f>
        <v>0</v>
      </c>
      <c r="T10" s="9">
        <f>IF(Ciclo="_5_años",
IF(Datos!F11="Por_Surcos",
IF(Datos!G11&gt;=3,D10/5,0),
IF(Datos!F11="En_Bloque",
IF(Datos!G11=3,D10,0),
0)),0)</f>
        <v>0</v>
      </c>
      <c r="U10" s="9">
        <f>IF(Ciclo="_5_años",
IF(Datos!F11="Por_Surcos",
IF(Datos!G11&gt;=4,D10/5,0),
IF(Datos!F11="En_Bloque",
IF(Datos!G11=4,D10,0),
0)),0)</f>
        <v>0</v>
      </c>
      <c r="V10" s="9">
        <f>IF(Ciclo="_5_años",
IF(Datos!F11="Por_Surcos",
IF(Datos!G11&gt;=5,D10/5,0),
IF(Datos!F11="En_Bloque",
IF(Datos!G11=5,D10,0),
0)),0)</f>
        <v>0</v>
      </c>
      <c r="W10" s="9">
        <f>(((L10*4.5)+(M10*12)+(O10*0.5)+(P10*4)+(Q10*8.5)+(S10*0.5)+(T10*4)+(U10*8.5)+(V10*6))*Datos!E11)/100</f>
        <v>0</v>
      </c>
      <c r="X10" s="6">
        <f t="shared" si="21"/>
        <v>0</v>
      </c>
      <c r="Y10" s="9">
        <f t="shared" si="4"/>
        <v>0</v>
      </c>
      <c r="Z10" s="9">
        <f t="shared" si="22"/>
        <v>0</v>
      </c>
      <c r="AA10" s="6">
        <f t="shared" si="23"/>
        <v>0</v>
      </c>
      <c r="AB10" s="9">
        <f t="shared" si="24"/>
        <v>0</v>
      </c>
      <c r="AC10" s="6">
        <f t="shared" si="25"/>
        <v>0</v>
      </c>
      <c r="AD10" s="6">
        <f t="shared" si="26"/>
        <v>0</v>
      </c>
      <c r="AE10" s="5">
        <f t="shared" si="27"/>
        <v>0</v>
      </c>
      <c r="AF10" s="5">
        <f>IF(Datos!F11="En_Bloque",0,IF(Datos!F11="Por_Surcos",IF(Datos!G11=1,E10/Plantas_Paliativa_Por_Dia,0),0))</f>
        <v>0</v>
      </c>
      <c r="AG10" s="5">
        <f t="shared" si="28"/>
        <v>0</v>
      </c>
      <c r="AH10" s="5">
        <f t="shared" si="29"/>
        <v>0</v>
      </c>
      <c r="AI10" s="5">
        <f t="shared" si="30"/>
        <v>0</v>
      </c>
      <c r="AJ10" s="5">
        <f t="shared" si="31"/>
        <v>0</v>
      </c>
      <c r="AK10" s="5">
        <f t="shared" si="32"/>
        <v>0</v>
      </c>
      <c r="AL10" s="5">
        <f t="shared" si="33"/>
        <v>0</v>
      </c>
      <c r="AM10" s="5">
        <f t="shared" si="34"/>
        <v>0</v>
      </c>
      <c r="AN10" s="5">
        <f t="shared" si="35"/>
        <v>0</v>
      </c>
      <c r="AO10" s="5">
        <f t="shared" si="36"/>
        <v>0</v>
      </c>
      <c r="AP10" s="5">
        <f t="shared" si="37"/>
        <v>0</v>
      </c>
      <c r="AQ10" s="5">
        <f t="shared" si="38"/>
        <v>0</v>
      </c>
      <c r="AR10" s="5">
        <f t="shared" si="10"/>
        <v>0</v>
      </c>
      <c r="AS10" s="6">
        <f>'Eficiencias &amp; Configuración'!B$12*Cálculos!C10</f>
        <v>0</v>
      </c>
      <c r="AT10" s="6">
        <f>IFERROR(('Eficiencias &amp; Configuración'!B$15*C10)*'Eficiencias &amp; Configuración'!B$14,0)</f>
        <v>0</v>
      </c>
      <c r="AU10">
        <f>C10*'Eficiencias &amp; Configuración'!B$16</f>
        <v>0</v>
      </c>
      <c r="AV10">
        <f>C10*'Eficiencias &amp; Configuración'!B$19</f>
        <v>0</v>
      </c>
      <c r="AW10">
        <f>(H10*Enfermedades_Crecimiento)*'Eficiencias &amp; Configuración'!B$18</f>
        <v>0</v>
      </c>
      <c r="AX10">
        <f>(I10+J10)*Enfermedades_Producción*'Eficiencias &amp; Configuración'!B$18</f>
        <v>0</v>
      </c>
      <c r="AY10" s="23">
        <f>W10*'Eficiencias &amp; Configuración'!B$24</f>
        <v>0</v>
      </c>
      <c r="AZ10" s="4">
        <f>(W10/5)*'Eficiencias &amp; Configuración'!B$25</f>
        <v>0</v>
      </c>
      <c r="BA10" s="5">
        <f t="shared" si="39"/>
        <v>0</v>
      </c>
      <c r="BB10" s="4">
        <f t="shared" si="40"/>
        <v>0</v>
      </c>
      <c r="BC10" s="4">
        <f t="shared" si="12"/>
        <v>0</v>
      </c>
      <c r="BD10" s="4">
        <f t="shared" si="41"/>
        <v>0</v>
      </c>
      <c r="BE10" s="5">
        <f t="shared" si="42"/>
        <v>0</v>
      </c>
      <c r="BF10" s="5">
        <f t="shared" si="43"/>
        <v>0</v>
      </c>
      <c r="BG10" s="5" t="e">
        <f t="shared" si="13"/>
        <v>#DIV/0!</v>
      </c>
      <c r="BH10" s="4">
        <f t="shared" si="14"/>
        <v>0</v>
      </c>
      <c r="BI10" s="4" t="e">
        <f t="shared" si="44"/>
        <v>#DIV/0!</v>
      </c>
      <c r="BJ10" s="4"/>
      <c r="BK10" s="4"/>
      <c r="BL10" s="4"/>
    </row>
    <row r="11" spans="1:64" x14ac:dyDescent="0.25">
      <c r="A11" t="str">
        <f>Datos!A12</f>
        <v>Lote 8</v>
      </c>
      <c r="B11" s="6">
        <f>Datos!B12</f>
        <v>0</v>
      </c>
      <c r="C11">
        <f>_xlfn.XLOOKUP(UM,Hoja1!A$2:A$7,Hoja1!B$2:B$7)*B11</f>
        <v>0</v>
      </c>
      <c r="D11" s="9">
        <f>IFERROR((Metros2*Datos!B12/(Datos!D12*Datos!C12)),0)</f>
        <v>0</v>
      </c>
      <c r="E11" s="6">
        <f t="shared" si="15"/>
        <v>0</v>
      </c>
      <c r="F11" s="12">
        <f t="shared" si="16"/>
        <v>0</v>
      </c>
      <c r="G11" s="6">
        <f t="shared" si="17"/>
        <v>0</v>
      </c>
      <c r="H11">
        <f t="shared" si="18"/>
        <v>0</v>
      </c>
      <c r="I11">
        <f t="shared" si="19"/>
        <v>0</v>
      </c>
      <c r="J11">
        <f t="shared" si="20"/>
        <v>0</v>
      </c>
      <c r="K11" s="9">
        <f>IF(Ciclo="_3_años",
IF(Datos!F12="Por_Surcos",
IF(Datos!G12&gt;=1,D11/3,0),
IF(Datos!F12="En_Bloque",
IF(Datos!G12=1,D11,0),
0)),0)</f>
        <v>0</v>
      </c>
      <c r="L11" s="17">
        <f>IF(Ciclo="_3_años",
IF(Datos!F12="Por_Surcos",
IF(Datos!G12&gt;=2,D11/3,0),
IF(Datos!F12="En_Bloque",
IF(Datos!G12=2,D11,0),
0)),0)</f>
        <v>0</v>
      </c>
      <c r="M11" s="9">
        <f>IF(Ciclo="_3_años",
IF(Datos!F12="Por_Surcos",
IF(Datos!G12&gt;=3,D11/3,0),
IF(Datos!F12="En_Bloque",
IF(Datos!G12=3,D11,0),
0)),0)</f>
        <v>0</v>
      </c>
      <c r="N11" s="9">
        <f>IF(Ciclo="_4_años",
IF(Datos!F12="Por_Surcos",
IF(Datos!G12&gt;=1,D11/4,0),
IF(Datos!F12="En_Bloque",
IF(Datos!G12=1,D11,0),
0)),0)</f>
        <v>0</v>
      </c>
      <c r="O11" s="9">
        <f>IF(Ciclo="_4_años",
IF(Datos!F12="Por_Surcos",
IF(Datos!G12&gt;=2,D11/4,0),
IF(Datos!F12="En_Bloque",
IF(Datos!G12=2,D11,0),
0)),0)</f>
        <v>0</v>
      </c>
      <c r="P11" s="9">
        <f>IF(Ciclo="_4_años",
IF(Datos!F12="Por_Surcos",
IF(Datos!G12&gt;=3,D11/4,0),
IF(Datos!F12="En_Bloque",
IF(Datos!G12=3,D11,0),
0)),0)</f>
        <v>0</v>
      </c>
      <c r="Q11" s="9">
        <f>IF(Ciclo="_4_años",
IF(Datos!F12="Por_Surcos",
IF(Datos!G12&gt;=4,D11/4,0),
IF(Datos!F12="En_Bloque",
IF(Datos!G12=4,D11,0),
0)),0)</f>
        <v>0</v>
      </c>
      <c r="R11" s="9">
        <f>IF(Ciclo="_5_años",
IF(Datos!F12="Por_Surcos",
IF(Datos!G12&gt;=1,D11/5,0),
IF(Datos!F12="En_Bloque",
IF(Datos!G12=1,D11,0),
0)),0)</f>
        <v>0</v>
      </c>
      <c r="S11" s="9">
        <f>IF(Ciclo="_5_años",
IF(Datos!F12="Por_Surcos",
IF(Datos!G12&gt;=2,D11/5,0),
IF(Datos!F12="En_Bloque",
IF(Datos!G12=2,D11,0),
0)),0)</f>
        <v>0</v>
      </c>
      <c r="T11" s="9">
        <f>IF(Ciclo="_5_años",
IF(Datos!F12="Por_Surcos",
IF(Datos!G12&gt;=3,D11/5,0),
IF(Datos!F12="En_Bloque",
IF(Datos!G12=3,D11,0),
0)),0)</f>
        <v>0</v>
      </c>
      <c r="U11" s="9">
        <f>IF(Ciclo="_5_años",
IF(Datos!F12="Por_Surcos",
IF(Datos!G12&gt;=4,D11/5,0),
IF(Datos!F12="En_Bloque",
IF(Datos!G12=4,D11,0),
0)),0)</f>
        <v>0</v>
      </c>
      <c r="V11" s="9">
        <f>IF(Ciclo="_5_años",
IF(Datos!F12="Por_Surcos",
IF(Datos!G12&gt;=5,D11/5,0),
IF(Datos!F12="En_Bloque",
IF(Datos!G12=5,D11,0),
0)),0)</f>
        <v>0</v>
      </c>
      <c r="W11" s="9">
        <f>(((L11*4.5)+(M11*12)+(O11*0.5)+(P11*4)+(Q11*8.5)+(S11*0.5)+(T11*4)+(U11*8.5)+(V11*6))*Datos!E12)/100</f>
        <v>0</v>
      </c>
      <c r="X11" s="6">
        <f t="shared" si="21"/>
        <v>0</v>
      </c>
      <c r="Y11" s="9">
        <f t="shared" si="4"/>
        <v>0</v>
      </c>
      <c r="Z11" s="9">
        <f t="shared" si="22"/>
        <v>0</v>
      </c>
      <c r="AA11" s="6">
        <f t="shared" si="23"/>
        <v>0</v>
      </c>
      <c r="AB11" s="9">
        <f t="shared" si="24"/>
        <v>0</v>
      </c>
      <c r="AC11" s="6">
        <f t="shared" si="25"/>
        <v>0</v>
      </c>
      <c r="AD11" s="6">
        <f t="shared" si="26"/>
        <v>0</v>
      </c>
      <c r="AE11" s="5">
        <f t="shared" si="27"/>
        <v>0</v>
      </c>
      <c r="AF11" s="5">
        <f>IF(Datos!F12="En_Bloque",0,IF(Datos!F12="Por_Surcos",IF(Datos!G12=1,E11/Plantas_Paliativa_Por_Dia,0),0))</f>
        <v>0</v>
      </c>
      <c r="AG11" s="5">
        <f t="shared" si="28"/>
        <v>0</v>
      </c>
      <c r="AH11" s="5">
        <f t="shared" si="29"/>
        <v>0</v>
      </c>
      <c r="AI11" s="5">
        <f t="shared" si="30"/>
        <v>0</v>
      </c>
      <c r="AJ11" s="5">
        <f t="shared" si="31"/>
        <v>0</v>
      </c>
      <c r="AK11" s="5">
        <f t="shared" si="32"/>
        <v>0</v>
      </c>
      <c r="AL11" s="5">
        <f t="shared" si="33"/>
        <v>0</v>
      </c>
      <c r="AM11" s="5">
        <f t="shared" si="34"/>
        <v>0</v>
      </c>
      <c r="AN11" s="5">
        <f t="shared" si="35"/>
        <v>0</v>
      </c>
      <c r="AO11" s="5">
        <f t="shared" si="36"/>
        <v>0</v>
      </c>
      <c r="AP11" s="5">
        <f t="shared" si="37"/>
        <v>0</v>
      </c>
      <c r="AQ11" s="5">
        <f t="shared" si="38"/>
        <v>0</v>
      </c>
      <c r="AR11" s="5">
        <f t="shared" si="10"/>
        <v>0</v>
      </c>
      <c r="AS11" s="6">
        <f>'Eficiencias &amp; Configuración'!B$12*Cálculos!C11</f>
        <v>0</v>
      </c>
      <c r="AT11" s="6">
        <f>IFERROR(('Eficiencias &amp; Configuración'!B$15*C11)*'Eficiencias &amp; Configuración'!B$14,0)</f>
        <v>0</v>
      </c>
      <c r="AU11">
        <f>C11*'Eficiencias &amp; Configuración'!B$16</f>
        <v>0</v>
      </c>
      <c r="AV11">
        <f>C11*'Eficiencias &amp; Configuración'!B$19</f>
        <v>0</v>
      </c>
      <c r="AW11">
        <f>(H11*Enfermedades_Crecimiento)*'Eficiencias &amp; Configuración'!B$18</f>
        <v>0</v>
      </c>
      <c r="AX11">
        <f>(I11+J11)*Enfermedades_Producción*'Eficiencias &amp; Configuración'!B$18</f>
        <v>0</v>
      </c>
      <c r="AY11" s="23">
        <f>W11*'Eficiencias &amp; Configuración'!B$24</f>
        <v>0</v>
      </c>
      <c r="AZ11" s="4">
        <f>(W11/5)*'Eficiencias &amp; Configuración'!B$25</f>
        <v>0</v>
      </c>
      <c r="BA11" s="5">
        <f t="shared" si="39"/>
        <v>0</v>
      </c>
      <c r="BB11" s="4">
        <f t="shared" si="40"/>
        <v>0</v>
      </c>
      <c r="BC11" s="4">
        <f t="shared" si="12"/>
        <v>0</v>
      </c>
      <c r="BD11" s="4">
        <f t="shared" si="41"/>
        <v>0</v>
      </c>
      <c r="BE11" s="5">
        <f t="shared" si="42"/>
        <v>0</v>
      </c>
      <c r="BF11" s="5">
        <f t="shared" si="43"/>
        <v>0</v>
      </c>
      <c r="BG11" s="5" t="e">
        <f t="shared" si="13"/>
        <v>#DIV/0!</v>
      </c>
      <c r="BH11" s="4">
        <f t="shared" si="14"/>
        <v>0</v>
      </c>
      <c r="BI11" s="4" t="e">
        <f t="shared" si="44"/>
        <v>#DIV/0!</v>
      </c>
      <c r="BJ11" s="4"/>
      <c r="BK11" s="4"/>
      <c r="BL11" s="4"/>
    </row>
    <row r="12" spans="1:64" x14ac:dyDescent="0.25">
      <c r="A12" t="str">
        <f>Datos!A13</f>
        <v>Lote 9</v>
      </c>
      <c r="B12" s="6">
        <f>Datos!B13</f>
        <v>0</v>
      </c>
      <c r="C12">
        <f>_xlfn.XLOOKUP(UM,Hoja1!A$2:A$7,Hoja1!B$2:B$7)*B12</f>
        <v>0</v>
      </c>
      <c r="D12" s="9">
        <f>IFERROR((Metros2*Datos!B13/(Datos!D13*Datos!C13)),0)</f>
        <v>0</v>
      </c>
      <c r="E12" s="6">
        <f t="shared" si="15"/>
        <v>0</v>
      </c>
      <c r="F12" s="12">
        <f t="shared" si="16"/>
        <v>0</v>
      </c>
      <c r="G12" s="6">
        <f t="shared" si="17"/>
        <v>0</v>
      </c>
      <c r="H12">
        <f t="shared" si="18"/>
        <v>0</v>
      </c>
      <c r="I12">
        <f t="shared" si="19"/>
        <v>0</v>
      </c>
      <c r="J12">
        <f t="shared" si="20"/>
        <v>0</v>
      </c>
      <c r="K12" s="9">
        <f>IF(Ciclo="_3_años",
IF(Datos!F13="Por_Surcos",
IF(Datos!G13&gt;=1,D12/3,0),
IF(Datos!F13="En_Bloque",
IF(Datos!G13=1,D12,0),
0)),0)</f>
        <v>0</v>
      </c>
      <c r="L12" s="17">
        <f>IF(Ciclo="_3_años",
IF(Datos!F13="Por_Surcos",
IF(Datos!G13&gt;=2,D12/3,0),
IF(Datos!F13="En_Bloque",
IF(Datos!G13=2,D12,0),
0)),0)</f>
        <v>0</v>
      </c>
      <c r="M12" s="9">
        <f>IF(Ciclo="_3_años",
IF(Datos!F13="Por_Surcos",
IF(Datos!G13&gt;=3,D12/3,0),
IF(Datos!F13="En_Bloque",
IF(Datos!G13=3,D12,0),
0)),0)</f>
        <v>0</v>
      </c>
      <c r="N12" s="9">
        <f>IF(Ciclo="_4_años",
IF(Datos!F13="Por_Surcos",
IF(Datos!G13&gt;=1,D12/4,0),
IF(Datos!F13="En_Bloque",
IF(Datos!G13=1,D12,0),
0)),0)</f>
        <v>0</v>
      </c>
      <c r="O12" s="9">
        <f>IF(Ciclo="_4_años",
IF(Datos!F13="Por_Surcos",
IF(Datos!G13&gt;=2,D12/4,0),
IF(Datos!F13="En_Bloque",
IF(Datos!G13=2,D12,0),
0)),0)</f>
        <v>0</v>
      </c>
      <c r="P12" s="9">
        <f>IF(Ciclo="_4_años",
IF(Datos!F13="Por_Surcos",
IF(Datos!G13&gt;=3,D12/4,0),
IF(Datos!F13="En_Bloque",
IF(Datos!G13=3,D12,0),
0)),0)</f>
        <v>0</v>
      </c>
      <c r="Q12" s="9">
        <f>IF(Ciclo="_4_años",
IF(Datos!F13="Por_Surcos",
IF(Datos!G13&gt;=4,D12/4,0),
IF(Datos!F13="En_Bloque",
IF(Datos!G13=4,D12,0),
0)),0)</f>
        <v>0</v>
      </c>
      <c r="R12" s="9">
        <f>IF(Ciclo="_5_años",
IF(Datos!F13="Por_Surcos",
IF(Datos!G13&gt;=1,D12/5,0),
IF(Datos!F13="En_Bloque",
IF(Datos!G13=1,D12,0),
0)),0)</f>
        <v>0</v>
      </c>
      <c r="S12" s="9">
        <f>IF(Ciclo="_5_años",
IF(Datos!F13="Por_Surcos",
IF(Datos!G13&gt;=2,D12/5,0),
IF(Datos!F13="En_Bloque",
IF(Datos!G13=2,D12,0),
0)),0)</f>
        <v>0</v>
      </c>
      <c r="T12" s="9">
        <f>IF(Ciclo="_5_años",
IF(Datos!F13="Por_Surcos",
IF(Datos!G13&gt;=3,D12/5,0),
IF(Datos!F13="En_Bloque",
IF(Datos!G13=3,D12,0),
0)),0)</f>
        <v>0</v>
      </c>
      <c r="U12" s="9">
        <f>IF(Ciclo="_5_años",
IF(Datos!F13="Por_Surcos",
IF(Datos!G13&gt;=4,D12/5,0),
IF(Datos!F13="En_Bloque",
IF(Datos!G13=4,D12,0),
0)),0)</f>
        <v>0</v>
      </c>
      <c r="V12" s="9">
        <f>IF(Ciclo="_5_años",
IF(Datos!F13="Por_Surcos",
IF(Datos!G13&gt;=5,D12/5,0),
IF(Datos!F13="En_Bloque",
IF(Datos!G13=5,D12,0),
0)),0)</f>
        <v>0</v>
      </c>
      <c r="W12" s="9">
        <f>(((L12*4.5)+(M12*12)+(O12*0.5)+(P12*4)+(Q12*8.5)+(S12*0.5)+(T12*4)+(U12*8.5)+(V12*6))*Datos!E13)/100</f>
        <v>0</v>
      </c>
      <c r="X12" s="6">
        <f t="shared" si="21"/>
        <v>0</v>
      </c>
      <c r="Y12" s="9">
        <f t="shared" si="4"/>
        <v>0</v>
      </c>
      <c r="Z12" s="9">
        <f t="shared" si="22"/>
        <v>0</v>
      </c>
      <c r="AA12" s="6">
        <f t="shared" si="23"/>
        <v>0</v>
      </c>
      <c r="AB12" s="9">
        <f t="shared" si="24"/>
        <v>0</v>
      </c>
      <c r="AC12" s="6">
        <f t="shared" si="25"/>
        <v>0</v>
      </c>
      <c r="AD12" s="6">
        <f t="shared" si="26"/>
        <v>0</v>
      </c>
      <c r="AE12" s="5">
        <f t="shared" si="27"/>
        <v>0</v>
      </c>
      <c r="AF12" s="5">
        <f>IF(Datos!F13="En_Bloque",0,IF(Datos!F13="Por_Surcos",IF(Datos!G13=1,E12/Plantas_Paliativa_Por_Dia,0),0))</f>
        <v>0</v>
      </c>
      <c r="AG12" s="5">
        <f t="shared" si="28"/>
        <v>0</v>
      </c>
      <c r="AH12" s="5">
        <f t="shared" si="29"/>
        <v>0</v>
      </c>
      <c r="AI12" s="5">
        <f t="shared" si="30"/>
        <v>0</v>
      </c>
      <c r="AJ12" s="5">
        <f t="shared" si="31"/>
        <v>0</v>
      </c>
      <c r="AK12" s="5">
        <f t="shared" si="32"/>
        <v>0</v>
      </c>
      <c r="AL12" s="5">
        <f t="shared" si="33"/>
        <v>0</v>
      </c>
      <c r="AM12" s="5">
        <f t="shared" si="34"/>
        <v>0</v>
      </c>
      <c r="AN12" s="5">
        <f t="shared" si="35"/>
        <v>0</v>
      </c>
      <c r="AO12" s="5">
        <f t="shared" si="36"/>
        <v>0</v>
      </c>
      <c r="AP12" s="5">
        <f t="shared" si="37"/>
        <v>0</v>
      </c>
      <c r="AQ12" s="5">
        <f t="shared" si="38"/>
        <v>0</v>
      </c>
      <c r="AR12" s="5">
        <f t="shared" si="10"/>
        <v>0</v>
      </c>
      <c r="AS12" s="6">
        <f>'Eficiencias &amp; Configuración'!B$12*Cálculos!C12</f>
        <v>0</v>
      </c>
      <c r="AT12" s="6">
        <f>IFERROR(('Eficiencias &amp; Configuración'!B$15*C12)*'Eficiencias &amp; Configuración'!B$14,0)</f>
        <v>0</v>
      </c>
      <c r="AU12">
        <f>C12*'Eficiencias &amp; Configuración'!B$16</f>
        <v>0</v>
      </c>
      <c r="AV12">
        <f>C12*'Eficiencias &amp; Configuración'!B$19</f>
        <v>0</v>
      </c>
      <c r="AW12">
        <f>(H12*Enfermedades_Crecimiento)*'Eficiencias &amp; Configuración'!B$18</f>
        <v>0</v>
      </c>
      <c r="AX12">
        <f>(I12+J12)*Enfermedades_Producción*'Eficiencias &amp; Configuración'!B$18</f>
        <v>0</v>
      </c>
      <c r="AY12" s="23">
        <f>W12*'Eficiencias &amp; Configuración'!B$24</f>
        <v>0</v>
      </c>
      <c r="AZ12" s="4">
        <f>(W12/5)*'Eficiencias &amp; Configuración'!B$25</f>
        <v>0</v>
      </c>
      <c r="BA12" s="5">
        <f t="shared" si="39"/>
        <v>0</v>
      </c>
      <c r="BB12" s="4">
        <f t="shared" si="40"/>
        <v>0</v>
      </c>
      <c r="BC12" s="4">
        <f t="shared" si="12"/>
        <v>0</v>
      </c>
      <c r="BD12" s="4">
        <f t="shared" si="41"/>
        <v>0</v>
      </c>
      <c r="BE12" s="5">
        <f t="shared" si="42"/>
        <v>0</v>
      </c>
      <c r="BF12" s="5">
        <f t="shared" si="43"/>
        <v>0</v>
      </c>
      <c r="BG12" s="5" t="e">
        <f t="shared" si="13"/>
        <v>#DIV/0!</v>
      </c>
      <c r="BH12" s="4">
        <f t="shared" si="14"/>
        <v>0</v>
      </c>
      <c r="BI12" s="4" t="e">
        <f t="shared" si="44"/>
        <v>#DIV/0!</v>
      </c>
      <c r="BJ12" s="4"/>
      <c r="BK12" s="4"/>
      <c r="BL12" s="4"/>
    </row>
    <row r="13" spans="1:64" x14ac:dyDescent="0.25">
      <c r="A13" t="str">
        <f>Datos!A14</f>
        <v>Lote 10</v>
      </c>
      <c r="B13" s="6">
        <f>Datos!B14</f>
        <v>0</v>
      </c>
      <c r="C13">
        <f>_xlfn.XLOOKUP(UM,Hoja1!A$2:A$7,Hoja1!B$2:B$7)*B13</f>
        <v>0</v>
      </c>
      <c r="D13" s="9">
        <f>IFERROR((Metros2*Datos!B14/(Datos!D14*Datos!C14)),0)</f>
        <v>0</v>
      </c>
      <c r="E13" s="6">
        <f t="shared" si="15"/>
        <v>0</v>
      </c>
      <c r="F13" s="12">
        <f t="shared" si="16"/>
        <v>0</v>
      </c>
      <c r="G13" s="6">
        <f t="shared" si="17"/>
        <v>0</v>
      </c>
      <c r="H13">
        <f t="shared" si="18"/>
        <v>0</v>
      </c>
      <c r="I13">
        <f t="shared" si="19"/>
        <v>0</v>
      </c>
      <c r="J13">
        <f t="shared" si="20"/>
        <v>0</v>
      </c>
      <c r="K13" s="9">
        <f>IF(Ciclo="_3_años",
IF(Datos!F14="Por_Surcos",
IF(Datos!G14&gt;=1,D13/3,0),
IF(Datos!F14="En_Bloque",
IF(Datos!G14=1,D13,0),
0)),0)</f>
        <v>0</v>
      </c>
      <c r="L13" s="17">
        <f>IF(Ciclo="_3_años",
IF(Datos!F14="Por_Surcos",
IF(Datos!G14&gt;=2,D13/3,0),
IF(Datos!F14="En_Bloque",
IF(Datos!G14=2,D13,0),
0)),0)</f>
        <v>0</v>
      </c>
      <c r="M13" s="9">
        <f>IF(Ciclo="_3_años",
IF(Datos!F14="Por_Surcos",
IF(Datos!G14&gt;=3,D13/3,0),
IF(Datos!F14="En_Bloque",
IF(Datos!G14=3,D13,0),
0)),0)</f>
        <v>0</v>
      </c>
      <c r="N13" s="9">
        <f>IF(Ciclo="_4_años",
IF(Datos!F14="Por_Surcos",
IF(Datos!G14&gt;=1,D13/4,0),
IF(Datos!F14="En_Bloque",
IF(Datos!G14=1,D13,0),
0)),0)</f>
        <v>0</v>
      </c>
      <c r="O13" s="9">
        <f>IF(Ciclo="_4_años",
IF(Datos!F14="Por_Surcos",
IF(Datos!G14&gt;=2,D13/4,0),
IF(Datos!F14="En_Bloque",
IF(Datos!G14=2,D13,0),
0)),0)</f>
        <v>0</v>
      </c>
      <c r="P13" s="9">
        <f>IF(Ciclo="_4_años",
IF(Datos!F14="Por_Surcos",
IF(Datos!G14&gt;=3,D13/4,0),
IF(Datos!F14="En_Bloque",
IF(Datos!G14=3,D13,0),
0)),0)</f>
        <v>0</v>
      </c>
      <c r="Q13" s="9">
        <f>IF(Ciclo="_4_años",
IF(Datos!F14="Por_Surcos",
IF(Datos!G14&gt;=4,D13/4,0),
IF(Datos!F14="En_Bloque",
IF(Datos!G14=4,D13,0),
0)),0)</f>
        <v>0</v>
      </c>
      <c r="R13" s="9">
        <f>IF(Ciclo="_5_años",
IF(Datos!F14="Por_Surcos",
IF(Datos!G14&gt;=1,D13/5,0),
IF(Datos!F14="En_Bloque",
IF(Datos!G14=1,D13,0),
0)),0)</f>
        <v>0</v>
      </c>
      <c r="S13" s="9">
        <f>IF(Ciclo="_5_años",
IF(Datos!F14="Por_Surcos",
IF(Datos!G14&gt;=2,D13/5,0),
IF(Datos!F14="En_Bloque",
IF(Datos!G14=2,D13,0),
0)),0)</f>
        <v>0</v>
      </c>
      <c r="T13" s="9">
        <f>IF(Ciclo="_5_años",
IF(Datos!F14="Por_Surcos",
IF(Datos!G14&gt;=3,D13/5,0),
IF(Datos!F14="En_Bloque",
IF(Datos!G14=3,D13,0),
0)),0)</f>
        <v>0</v>
      </c>
      <c r="U13" s="9">
        <f>IF(Ciclo="_5_años",
IF(Datos!F14="Por_Surcos",
IF(Datos!G14&gt;=4,D13/5,0),
IF(Datos!F14="En_Bloque",
IF(Datos!G14=4,D13,0),
0)),0)</f>
        <v>0</v>
      </c>
      <c r="V13" s="9">
        <f>IF(Ciclo="_5_años",
IF(Datos!F14="Por_Surcos",
IF(Datos!G14&gt;=5,D13/5,0),
IF(Datos!F14="En_Bloque",
IF(Datos!G14=5,D13,0),
0)),0)</f>
        <v>0</v>
      </c>
      <c r="W13" s="9">
        <f>(((L13*4.5)+(M13*12)+(O13*0.5)+(P13*4)+(Q13*8.5)+(S13*0.5)+(T13*4)+(U13*8.5)+(V13*6))*Datos!E14)/100</f>
        <v>0</v>
      </c>
      <c r="X13" s="6">
        <f t="shared" si="21"/>
        <v>0</v>
      </c>
      <c r="Y13" s="9">
        <f t="shared" si="4"/>
        <v>0</v>
      </c>
      <c r="Z13" s="9">
        <f t="shared" si="22"/>
        <v>0</v>
      </c>
      <c r="AA13" s="6">
        <f t="shared" si="23"/>
        <v>0</v>
      </c>
      <c r="AB13" s="9">
        <f t="shared" si="24"/>
        <v>0</v>
      </c>
      <c r="AC13" s="6">
        <f t="shared" si="25"/>
        <v>0</v>
      </c>
      <c r="AD13" s="6">
        <f t="shared" si="26"/>
        <v>0</v>
      </c>
      <c r="AE13" s="5">
        <f t="shared" si="27"/>
        <v>0</v>
      </c>
      <c r="AF13" s="5">
        <f>IF(Datos!F14="En_Bloque",0,IF(Datos!F14="Por_Surcos",IF(Datos!G14=1,E13/Plantas_Paliativa_Por_Dia,0),0))</f>
        <v>0</v>
      </c>
      <c r="AG13" s="5">
        <f t="shared" si="28"/>
        <v>0</v>
      </c>
      <c r="AH13" s="5">
        <f t="shared" si="29"/>
        <v>0</v>
      </c>
      <c r="AI13" s="5">
        <f t="shared" si="30"/>
        <v>0</v>
      </c>
      <c r="AJ13" s="5">
        <f t="shared" si="31"/>
        <v>0</v>
      </c>
      <c r="AK13" s="5">
        <f t="shared" si="32"/>
        <v>0</v>
      </c>
      <c r="AL13" s="5">
        <f t="shared" si="33"/>
        <v>0</v>
      </c>
      <c r="AM13" s="5">
        <f t="shared" si="34"/>
        <v>0</v>
      </c>
      <c r="AN13" s="5">
        <f t="shared" si="35"/>
        <v>0</v>
      </c>
      <c r="AO13" s="5">
        <f t="shared" si="36"/>
        <v>0</v>
      </c>
      <c r="AP13" s="5">
        <f t="shared" si="37"/>
        <v>0</v>
      </c>
      <c r="AQ13" s="5">
        <f t="shared" si="38"/>
        <v>0</v>
      </c>
      <c r="AR13" s="5">
        <f t="shared" si="10"/>
        <v>0</v>
      </c>
      <c r="AS13" s="6">
        <f>'Eficiencias &amp; Configuración'!B$12*Cálculos!C13</f>
        <v>0</v>
      </c>
      <c r="AT13" s="6">
        <f>IFERROR(('Eficiencias &amp; Configuración'!B$15*C13)*'Eficiencias &amp; Configuración'!B$14,0)</f>
        <v>0</v>
      </c>
      <c r="AU13">
        <f>C13*'Eficiencias &amp; Configuración'!B$16</f>
        <v>0</v>
      </c>
      <c r="AV13">
        <f>C13*'Eficiencias &amp; Configuración'!B$19</f>
        <v>0</v>
      </c>
      <c r="AW13">
        <f>(H13*Enfermedades_Crecimiento)*'Eficiencias &amp; Configuración'!B$18</f>
        <v>0</v>
      </c>
      <c r="AX13">
        <f>(I13+J13)*Enfermedades_Producción*'Eficiencias &amp; Configuración'!B$18</f>
        <v>0</v>
      </c>
      <c r="AY13" s="23">
        <f>W13*'Eficiencias &amp; Configuración'!B$24</f>
        <v>0</v>
      </c>
      <c r="AZ13" s="4">
        <f>(W13/5)*'Eficiencias &amp; Configuración'!B$25</f>
        <v>0</v>
      </c>
      <c r="BA13" s="5">
        <f t="shared" si="39"/>
        <v>0</v>
      </c>
      <c r="BB13" s="4">
        <f t="shared" si="40"/>
        <v>0</v>
      </c>
      <c r="BC13" s="4">
        <f t="shared" si="12"/>
        <v>0</v>
      </c>
      <c r="BD13" s="4">
        <f t="shared" si="41"/>
        <v>0</v>
      </c>
      <c r="BE13" s="5">
        <f t="shared" si="42"/>
        <v>0</v>
      </c>
      <c r="BF13" s="5">
        <f t="shared" si="43"/>
        <v>0</v>
      </c>
      <c r="BG13" s="5" t="e">
        <f t="shared" si="13"/>
        <v>#DIV/0!</v>
      </c>
      <c r="BH13" s="4">
        <f t="shared" si="14"/>
        <v>0</v>
      </c>
      <c r="BI13" s="4" t="e">
        <f t="shared" si="44"/>
        <v>#DIV/0!</v>
      </c>
      <c r="BJ13" s="4"/>
      <c r="BK13" s="4"/>
      <c r="BL13" s="4"/>
    </row>
    <row r="14" spans="1:64" x14ac:dyDescent="0.25">
      <c r="A14" t="str">
        <f>Datos!A15</f>
        <v>Lote 11</v>
      </c>
      <c r="B14" s="6">
        <f>Datos!B15</f>
        <v>0</v>
      </c>
      <c r="C14">
        <f>_xlfn.XLOOKUP(UM,Hoja1!A$2:A$7,Hoja1!B$2:B$7)*B14</f>
        <v>0</v>
      </c>
      <c r="D14" s="9">
        <f>IFERROR((Metros2*Datos!B15/(Datos!D15*Datos!C15)),0)</f>
        <v>0</v>
      </c>
      <c r="E14" s="6">
        <f t="shared" si="15"/>
        <v>0</v>
      </c>
      <c r="F14" s="12">
        <f t="shared" si="16"/>
        <v>0</v>
      </c>
      <c r="G14" s="6">
        <f t="shared" si="17"/>
        <v>0</v>
      </c>
      <c r="H14">
        <f t="shared" si="18"/>
        <v>0</v>
      </c>
      <c r="I14">
        <f t="shared" si="19"/>
        <v>0</v>
      </c>
      <c r="J14">
        <f t="shared" si="20"/>
        <v>0</v>
      </c>
      <c r="K14" s="9">
        <f>IF(Ciclo="_3_años",
IF(Datos!F15="Por_Surcos",
IF(Datos!G15&gt;=1,D14/3,0),
IF(Datos!F15="En_Bloque",
IF(Datos!G15=1,D14,0),
0)),0)</f>
        <v>0</v>
      </c>
      <c r="L14" s="17">
        <f>IF(Ciclo="_3_años",
IF(Datos!F15="Por_Surcos",
IF(Datos!G15&gt;=2,D14/3,0),
IF(Datos!F15="En_Bloque",
IF(Datos!G15=2,D14,0),
0)),0)</f>
        <v>0</v>
      </c>
      <c r="M14" s="9">
        <f>IF(Ciclo="_3_años",
IF(Datos!F15="Por_Surcos",
IF(Datos!G15&gt;=3,D14/3,0),
IF(Datos!F15="En_Bloque",
IF(Datos!G15=3,D14,0),
0)),0)</f>
        <v>0</v>
      </c>
      <c r="N14" s="9">
        <f>IF(Ciclo="_4_años",
IF(Datos!F15="Por_Surcos",
IF(Datos!G15&gt;=1,D14/4,0),
IF(Datos!F15="En_Bloque",
IF(Datos!G15=1,D14,0),
0)),0)</f>
        <v>0</v>
      </c>
      <c r="O14" s="9">
        <f>IF(Ciclo="_4_años",
IF(Datos!F15="Por_Surcos",
IF(Datos!G15&gt;=2,D14/4,0),
IF(Datos!F15="En_Bloque",
IF(Datos!G15=2,D14,0),
0)),0)</f>
        <v>0</v>
      </c>
      <c r="P14" s="9">
        <f>IF(Ciclo="_4_años",
IF(Datos!F15="Por_Surcos",
IF(Datos!G15&gt;=3,D14/4,0),
IF(Datos!F15="En_Bloque",
IF(Datos!G15=3,D14,0),
0)),0)</f>
        <v>0</v>
      </c>
      <c r="Q14" s="9">
        <f>IF(Ciclo="_4_años",
IF(Datos!F15="Por_Surcos",
IF(Datos!G15&gt;=4,D14/4,0),
IF(Datos!F15="En_Bloque",
IF(Datos!G15=4,D14,0),
0)),0)</f>
        <v>0</v>
      </c>
      <c r="R14" s="9">
        <f>IF(Ciclo="_5_años",
IF(Datos!F15="Por_Surcos",
IF(Datos!G15&gt;=1,D14/5,0),
IF(Datos!F15="En_Bloque",
IF(Datos!G15=1,D14,0),
0)),0)</f>
        <v>0</v>
      </c>
      <c r="S14" s="9">
        <f>IF(Ciclo="_5_años",
IF(Datos!F15="Por_Surcos",
IF(Datos!G15&gt;=2,D14/5,0),
IF(Datos!F15="En_Bloque",
IF(Datos!G15=2,D14,0),
0)),0)</f>
        <v>0</v>
      </c>
      <c r="T14" s="9">
        <f>IF(Ciclo="_5_años",
IF(Datos!F15="Por_Surcos",
IF(Datos!G15&gt;=3,D14/5,0),
IF(Datos!F15="En_Bloque",
IF(Datos!G15=3,D14,0),
0)),0)</f>
        <v>0</v>
      </c>
      <c r="U14" s="9">
        <f>IF(Ciclo="_5_años",
IF(Datos!F15="Por_Surcos",
IF(Datos!G15&gt;=4,D14/5,0),
IF(Datos!F15="En_Bloque",
IF(Datos!G15=4,D14,0),
0)),0)</f>
        <v>0</v>
      </c>
      <c r="V14" s="9">
        <f>IF(Ciclo="_5_años",
IF(Datos!F15="Por_Surcos",
IF(Datos!G15&gt;=5,D14/5,0),
IF(Datos!F15="En_Bloque",
IF(Datos!G15=5,D14,0),
0)),0)</f>
        <v>0</v>
      </c>
      <c r="W14" s="9">
        <f>(((L14*4.5)+(M14*12)+(O14*0.5)+(P14*4)+(Q14*8.5)+(S14*0.5)+(T14*4)+(U14*8.5)+(V14*6))*Datos!E15)/100</f>
        <v>0</v>
      </c>
      <c r="X14" s="6">
        <f t="shared" si="21"/>
        <v>0</v>
      </c>
      <c r="Y14" s="9">
        <f t="shared" si="4"/>
        <v>0</v>
      </c>
      <c r="Z14" s="9">
        <f t="shared" si="22"/>
        <v>0</v>
      </c>
      <c r="AA14" s="6">
        <f t="shared" si="23"/>
        <v>0</v>
      </c>
      <c r="AB14" s="9">
        <f t="shared" si="24"/>
        <v>0</v>
      </c>
      <c r="AC14" s="6">
        <f t="shared" si="25"/>
        <v>0</v>
      </c>
      <c r="AD14" s="6">
        <f t="shared" si="26"/>
        <v>0</v>
      </c>
      <c r="AE14" s="5">
        <f t="shared" si="27"/>
        <v>0</v>
      </c>
      <c r="AF14" s="5">
        <f>IF(Datos!F15="En_Bloque",0,IF(Datos!F15="Por_Surcos",IF(Datos!G15=1,E14/Plantas_Paliativa_Por_Dia,0),0))</f>
        <v>0</v>
      </c>
      <c r="AG14" s="5">
        <f t="shared" si="28"/>
        <v>0</v>
      </c>
      <c r="AH14" s="5">
        <f t="shared" si="29"/>
        <v>0</v>
      </c>
      <c r="AI14" s="5">
        <f t="shared" si="30"/>
        <v>0</v>
      </c>
      <c r="AJ14" s="5">
        <f t="shared" si="31"/>
        <v>0</v>
      </c>
      <c r="AK14" s="5">
        <f t="shared" si="32"/>
        <v>0</v>
      </c>
      <c r="AL14" s="5">
        <f t="shared" si="33"/>
        <v>0</v>
      </c>
      <c r="AM14" s="5">
        <f t="shared" si="34"/>
        <v>0</v>
      </c>
      <c r="AN14" s="5">
        <f t="shared" si="35"/>
        <v>0</v>
      </c>
      <c r="AO14" s="5">
        <f t="shared" si="36"/>
        <v>0</v>
      </c>
      <c r="AP14" s="5">
        <f t="shared" si="37"/>
        <v>0</v>
      </c>
      <c r="AQ14" s="5">
        <f t="shared" si="38"/>
        <v>0</v>
      </c>
      <c r="AR14" s="5">
        <f t="shared" si="10"/>
        <v>0</v>
      </c>
      <c r="AS14" s="6">
        <f>'Eficiencias &amp; Configuración'!B$12*Cálculos!C14</f>
        <v>0</v>
      </c>
      <c r="AT14" s="6">
        <f>IFERROR(('Eficiencias &amp; Configuración'!B$15*C14)*'Eficiencias &amp; Configuración'!B$14,0)</f>
        <v>0</v>
      </c>
      <c r="AU14">
        <f>C14*'Eficiencias &amp; Configuración'!B$16</f>
        <v>0</v>
      </c>
      <c r="AV14">
        <f>C14*'Eficiencias &amp; Configuración'!B$19</f>
        <v>0</v>
      </c>
      <c r="AW14">
        <f>(H14*Enfermedades_Crecimiento)*'Eficiencias &amp; Configuración'!B$18</f>
        <v>0</v>
      </c>
      <c r="AX14">
        <f>(I14+J14)*Enfermedades_Producción*'Eficiencias &amp; Configuración'!B$18</f>
        <v>0</v>
      </c>
      <c r="AY14" s="23">
        <f>W14*'Eficiencias &amp; Configuración'!B$24</f>
        <v>0</v>
      </c>
      <c r="AZ14" s="4">
        <f>(W14/5)*'Eficiencias &amp; Configuración'!B$25</f>
        <v>0</v>
      </c>
      <c r="BA14" s="5">
        <f t="shared" si="39"/>
        <v>0</v>
      </c>
      <c r="BB14" s="4">
        <f t="shared" si="40"/>
        <v>0</v>
      </c>
      <c r="BC14" s="4">
        <f t="shared" si="12"/>
        <v>0</v>
      </c>
      <c r="BD14" s="4">
        <f t="shared" si="41"/>
        <v>0</v>
      </c>
      <c r="BE14" s="5">
        <f t="shared" si="42"/>
        <v>0</v>
      </c>
      <c r="BF14" s="5">
        <f t="shared" si="43"/>
        <v>0</v>
      </c>
      <c r="BG14" s="5" t="e">
        <f t="shared" si="13"/>
        <v>#DIV/0!</v>
      </c>
      <c r="BH14" s="4">
        <f t="shared" si="14"/>
        <v>0</v>
      </c>
      <c r="BI14" s="4" t="e">
        <f t="shared" si="44"/>
        <v>#DIV/0!</v>
      </c>
    </row>
    <row r="15" spans="1:64" x14ac:dyDescent="0.25">
      <c r="A15" t="str">
        <f>Datos!A16</f>
        <v>Lote 12</v>
      </c>
      <c r="B15" s="6">
        <f>Datos!B16</f>
        <v>0</v>
      </c>
      <c r="C15">
        <f>_xlfn.XLOOKUP(UM,Hoja1!A$2:A$7,Hoja1!B$2:B$7)*B15</f>
        <v>0</v>
      </c>
      <c r="D15" s="9">
        <f>IFERROR((Metros2*Datos!B16/(Datos!D16*Datos!C16)),0)</f>
        <v>0</v>
      </c>
      <c r="E15" s="6">
        <f t="shared" si="15"/>
        <v>0</v>
      </c>
      <c r="F15" s="12">
        <f t="shared" si="16"/>
        <v>0</v>
      </c>
      <c r="G15" s="6">
        <f t="shared" si="17"/>
        <v>0</v>
      </c>
      <c r="H15">
        <f t="shared" si="18"/>
        <v>0</v>
      </c>
      <c r="I15">
        <f t="shared" si="19"/>
        <v>0</v>
      </c>
      <c r="J15">
        <f t="shared" si="20"/>
        <v>0</v>
      </c>
      <c r="K15" s="9">
        <f>IF(Ciclo="_3_años",
IF(Datos!F16="Por_Surcos",
IF(Datos!G16&gt;=1,D15/3,0),
IF(Datos!F16="En_Bloque",
IF(Datos!G16=1,D15,0),
0)),0)</f>
        <v>0</v>
      </c>
      <c r="L15" s="17">
        <f>IF(Ciclo="_3_años",
IF(Datos!F16="Por_Surcos",
IF(Datos!G16&gt;=2,D15/3,0),
IF(Datos!F16="En_Bloque",
IF(Datos!G16=2,D15,0),
0)),0)</f>
        <v>0</v>
      </c>
      <c r="M15" s="9">
        <f>IF(Ciclo="_3_años",
IF(Datos!F16="Por_Surcos",
IF(Datos!G16&gt;=3,D15/3,0),
IF(Datos!F16="En_Bloque",
IF(Datos!G16=3,D15,0),
0)),0)</f>
        <v>0</v>
      </c>
      <c r="N15" s="9">
        <f>IF(Ciclo="_4_años",
IF(Datos!F16="Por_Surcos",
IF(Datos!G16&gt;=1,D15/4,0),
IF(Datos!F16="En_Bloque",
IF(Datos!G16=1,D15,0),
0)),0)</f>
        <v>0</v>
      </c>
      <c r="O15" s="9">
        <f>IF(Ciclo="_4_años",
IF(Datos!F16="Por_Surcos",
IF(Datos!G16&gt;=2,D15/4,0),
IF(Datos!F16="En_Bloque",
IF(Datos!G16=2,D15,0),
0)),0)</f>
        <v>0</v>
      </c>
      <c r="P15" s="9">
        <f>IF(Ciclo="_4_años",
IF(Datos!F16="Por_Surcos",
IF(Datos!G16&gt;=3,D15/4,0),
IF(Datos!F16="En_Bloque",
IF(Datos!G16=3,D15,0),
0)),0)</f>
        <v>0</v>
      </c>
      <c r="Q15" s="9">
        <f>IF(Ciclo="_4_años",
IF(Datos!F16="Por_Surcos",
IF(Datos!G16&gt;=4,D15/4,0),
IF(Datos!F16="En_Bloque",
IF(Datos!G16=4,D15,0),
0)),0)</f>
        <v>0</v>
      </c>
      <c r="R15" s="9">
        <f>IF(Ciclo="_5_años",
IF(Datos!F16="Por_Surcos",
IF(Datos!G16&gt;=1,D15/5,0),
IF(Datos!F16="En_Bloque",
IF(Datos!G16=1,D15,0),
0)),0)</f>
        <v>0</v>
      </c>
      <c r="S15" s="9">
        <f>IF(Ciclo="_5_años",
IF(Datos!F16="Por_Surcos",
IF(Datos!G16&gt;=2,D15/5,0),
IF(Datos!F16="En_Bloque",
IF(Datos!G16=2,D15,0),
0)),0)</f>
        <v>0</v>
      </c>
      <c r="T15" s="9">
        <f>IF(Ciclo="_5_años",
IF(Datos!F16="Por_Surcos",
IF(Datos!G16&gt;=3,D15/5,0),
IF(Datos!F16="En_Bloque",
IF(Datos!G16=3,D15,0),
0)),0)</f>
        <v>0</v>
      </c>
      <c r="U15" s="9">
        <f>IF(Ciclo="_5_años",
IF(Datos!F16="Por_Surcos",
IF(Datos!G16&gt;=4,D15/5,0),
IF(Datos!F16="En_Bloque",
IF(Datos!G16=4,D15,0),
0)),0)</f>
        <v>0</v>
      </c>
      <c r="V15" s="9">
        <f>IF(Ciclo="_5_años",
IF(Datos!F16="Por_Surcos",
IF(Datos!G16&gt;=5,D15/5,0),
IF(Datos!F16="En_Bloque",
IF(Datos!G16=5,D15,0),
0)),0)</f>
        <v>0</v>
      </c>
      <c r="W15" s="9">
        <f>(((L15*4.5)+(M15*12)+(O15*0.5)+(P15*4)+(Q15*8.5)+(S15*0.5)+(T15*4)+(U15*8.5)+(V15*6))*Datos!E16)/100</f>
        <v>0</v>
      </c>
      <c r="X15" s="6">
        <f t="shared" si="21"/>
        <v>0</v>
      </c>
      <c r="Y15" s="9">
        <f t="shared" si="4"/>
        <v>0</v>
      </c>
      <c r="Z15" s="9">
        <f t="shared" si="22"/>
        <v>0</v>
      </c>
      <c r="AA15" s="6">
        <f t="shared" si="23"/>
        <v>0</v>
      </c>
      <c r="AB15" s="9">
        <f t="shared" si="24"/>
        <v>0</v>
      </c>
      <c r="AC15" s="6">
        <f t="shared" si="25"/>
        <v>0</v>
      </c>
      <c r="AD15" s="6">
        <f t="shared" si="26"/>
        <v>0</v>
      </c>
      <c r="AE15" s="5">
        <f t="shared" si="27"/>
        <v>0</v>
      </c>
      <c r="AF15" s="5">
        <f>IF(Datos!F16="En_Bloque",0,IF(Datos!F16="Por_Surcos",IF(Datos!G16=1,E15/Plantas_Paliativa_Por_Dia,0),0))</f>
        <v>0</v>
      </c>
      <c r="AG15" s="5">
        <f t="shared" si="28"/>
        <v>0</v>
      </c>
      <c r="AH15" s="5">
        <f t="shared" si="29"/>
        <v>0</v>
      </c>
      <c r="AI15" s="5">
        <f t="shared" si="30"/>
        <v>0</v>
      </c>
      <c r="AJ15" s="5">
        <f t="shared" si="31"/>
        <v>0</v>
      </c>
      <c r="AK15" s="5">
        <f t="shared" si="32"/>
        <v>0</v>
      </c>
      <c r="AL15" s="5">
        <f t="shared" si="33"/>
        <v>0</v>
      </c>
      <c r="AM15" s="5">
        <f t="shared" si="34"/>
        <v>0</v>
      </c>
      <c r="AN15" s="5">
        <f t="shared" si="35"/>
        <v>0</v>
      </c>
      <c r="AO15" s="5">
        <f t="shared" si="36"/>
        <v>0</v>
      </c>
      <c r="AP15" s="5">
        <f t="shared" si="37"/>
        <v>0</v>
      </c>
      <c r="AQ15" s="5">
        <f t="shared" si="38"/>
        <v>0</v>
      </c>
      <c r="AR15" s="5">
        <f t="shared" si="10"/>
        <v>0</v>
      </c>
      <c r="AS15" s="6">
        <f>'Eficiencias &amp; Configuración'!B$12*Cálculos!C15</f>
        <v>0</v>
      </c>
      <c r="AT15" s="6">
        <f>IFERROR(('Eficiencias &amp; Configuración'!B$15*C15)*'Eficiencias &amp; Configuración'!B$14,0)</f>
        <v>0</v>
      </c>
      <c r="AU15">
        <f>C15*'Eficiencias &amp; Configuración'!B$16</f>
        <v>0</v>
      </c>
      <c r="AV15">
        <f>C15*'Eficiencias &amp; Configuración'!B$19</f>
        <v>0</v>
      </c>
      <c r="AW15">
        <f>(H15*Enfermedades_Crecimiento)*'Eficiencias &amp; Configuración'!B$18</f>
        <v>0</v>
      </c>
      <c r="AX15">
        <f>(I15+J15)*Enfermedades_Producción*'Eficiencias &amp; Configuración'!B$18</f>
        <v>0</v>
      </c>
      <c r="AY15" s="23">
        <f>W15*'Eficiencias &amp; Configuración'!B$24</f>
        <v>0</v>
      </c>
      <c r="AZ15" s="4">
        <f>(W15/5)*'Eficiencias &amp; Configuración'!B$25</f>
        <v>0</v>
      </c>
      <c r="BA15" s="5">
        <f t="shared" si="39"/>
        <v>0</v>
      </c>
      <c r="BB15" s="4">
        <f t="shared" si="40"/>
        <v>0</v>
      </c>
      <c r="BC15" s="4">
        <f t="shared" si="12"/>
        <v>0</v>
      </c>
      <c r="BD15" s="4">
        <f t="shared" si="41"/>
        <v>0</v>
      </c>
      <c r="BE15" s="5">
        <f t="shared" si="42"/>
        <v>0</v>
      </c>
      <c r="BF15" s="5">
        <f t="shared" si="43"/>
        <v>0</v>
      </c>
      <c r="BG15" s="5" t="e">
        <f t="shared" si="13"/>
        <v>#DIV/0!</v>
      </c>
      <c r="BH15" s="4">
        <f t="shared" si="14"/>
        <v>0</v>
      </c>
      <c r="BI15" s="4" t="e">
        <f t="shared" si="44"/>
        <v>#DIV/0!</v>
      </c>
    </row>
    <row r="16" spans="1:64" x14ac:dyDescent="0.25">
      <c r="A16" t="str">
        <f>Datos!A17</f>
        <v>Lote 13</v>
      </c>
      <c r="B16" s="6">
        <f>Datos!B17</f>
        <v>0</v>
      </c>
      <c r="C16">
        <f>_xlfn.XLOOKUP(UM,Hoja1!A$2:A$7,Hoja1!B$2:B$7)*B16</f>
        <v>0</v>
      </c>
      <c r="D16" s="9">
        <f>IFERROR((Metros2*Datos!B17/(Datos!D17*Datos!C17)),0)</f>
        <v>0</v>
      </c>
      <c r="E16" s="6">
        <f t="shared" si="15"/>
        <v>0</v>
      </c>
      <c r="F16" s="12">
        <f t="shared" si="16"/>
        <v>0</v>
      </c>
      <c r="G16" s="6">
        <f t="shared" si="17"/>
        <v>0</v>
      </c>
      <c r="H16">
        <f t="shared" si="18"/>
        <v>0</v>
      </c>
      <c r="I16">
        <f t="shared" si="19"/>
        <v>0</v>
      </c>
      <c r="J16">
        <f t="shared" si="20"/>
        <v>0</v>
      </c>
      <c r="K16" s="9">
        <f>IF(Ciclo="_3_años",
IF(Datos!F17="Por_Surcos",
IF(Datos!G17&gt;=1,D16/3,0),
IF(Datos!F17="En_Bloque",
IF(Datos!G17=1,D16,0),
0)),0)</f>
        <v>0</v>
      </c>
      <c r="L16" s="17">
        <f>IF(Ciclo="_3_años",
IF(Datos!F17="Por_Surcos",
IF(Datos!G17&gt;=2,D16/3,0),
IF(Datos!F17="En_Bloque",
IF(Datos!G17=2,D16,0),
0)),0)</f>
        <v>0</v>
      </c>
      <c r="M16" s="9">
        <f>IF(Ciclo="_3_años",
IF(Datos!F17="Por_Surcos",
IF(Datos!G17&gt;=3,D16/3,0),
IF(Datos!F17="En_Bloque",
IF(Datos!G17=3,D16,0),
0)),0)</f>
        <v>0</v>
      </c>
      <c r="N16" s="9">
        <f>IF(Ciclo="_4_años",
IF(Datos!F17="Por_Surcos",
IF(Datos!G17&gt;=1,D16/4,0),
IF(Datos!F17="En_Bloque",
IF(Datos!G17=1,D16,0),
0)),0)</f>
        <v>0</v>
      </c>
      <c r="O16" s="9">
        <f>IF(Ciclo="_4_años",
IF(Datos!F17="Por_Surcos",
IF(Datos!G17&gt;=2,D16/4,0),
IF(Datos!F17="En_Bloque",
IF(Datos!G17=2,D16,0),
0)),0)</f>
        <v>0</v>
      </c>
      <c r="P16" s="9">
        <f>IF(Ciclo="_4_años",
IF(Datos!F17="Por_Surcos",
IF(Datos!G17&gt;=3,D16/4,0),
IF(Datos!F17="En_Bloque",
IF(Datos!G17=3,D16,0),
0)),0)</f>
        <v>0</v>
      </c>
      <c r="Q16" s="9">
        <f>IF(Ciclo="_4_años",
IF(Datos!F17="Por_Surcos",
IF(Datos!G17&gt;=4,D16/4,0),
IF(Datos!F17="En_Bloque",
IF(Datos!G17=4,D16,0),
0)),0)</f>
        <v>0</v>
      </c>
      <c r="R16" s="9">
        <f>IF(Ciclo="_5_años",
IF(Datos!F17="Por_Surcos",
IF(Datos!G17&gt;=1,D16/5,0),
IF(Datos!F17="En_Bloque",
IF(Datos!G17=1,D16,0),
0)),0)</f>
        <v>0</v>
      </c>
      <c r="S16" s="9">
        <f>IF(Ciclo="_5_años",
IF(Datos!F17="Por_Surcos",
IF(Datos!G17&gt;=2,D16/5,0),
IF(Datos!F17="En_Bloque",
IF(Datos!G17=2,D16,0),
0)),0)</f>
        <v>0</v>
      </c>
      <c r="T16" s="9">
        <f>IF(Ciclo="_5_años",
IF(Datos!F17="Por_Surcos",
IF(Datos!G17&gt;=3,D16/5,0),
IF(Datos!F17="En_Bloque",
IF(Datos!G17=3,D16,0),
0)),0)</f>
        <v>0</v>
      </c>
      <c r="U16" s="9">
        <f>IF(Ciclo="_5_años",
IF(Datos!F17="Por_Surcos",
IF(Datos!G17&gt;=4,D16/5,0),
IF(Datos!F17="En_Bloque",
IF(Datos!G17=4,D16,0),
0)),0)</f>
        <v>0</v>
      </c>
      <c r="V16" s="9">
        <f>IF(Ciclo="_5_años",
IF(Datos!F17="Por_Surcos",
IF(Datos!G17&gt;=5,D16/5,0),
IF(Datos!F17="En_Bloque",
IF(Datos!G17=5,D16,0),
0)),0)</f>
        <v>0</v>
      </c>
      <c r="W16" s="9">
        <f>(((L16*4.5)+(M16*12)+(O16*0.5)+(P16*4)+(Q16*8.5)+(S16*0.5)+(T16*4)+(U16*8.5)+(V16*6))*Datos!E17)/100</f>
        <v>0</v>
      </c>
      <c r="X16" s="6">
        <f t="shared" si="21"/>
        <v>0</v>
      </c>
      <c r="Y16" s="9">
        <f t="shared" si="4"/>
        <v>0</v>
      </c>
      <c r="Z16" s="9">
        <f t="shared" si="22"/>
        <v>0</v>
      </c>
      <c r="AA16" s="6">
        <f t="shared" si="23"/>
        <v>0</v>
      </c>
      <c r="AB16" s="9">
        <f t="shared" si="24"/>
        <v>0</v>
      </c>
      <c r="AC16" s="6">
        <f t="shared" si="25"/>
        <v>0</v>
      </c>
      <c r="AD16" s="6">
        <f t="shared" si="26"/>
        <v>0</v>
      </c>
      <c r="AE16" s="5">
        <f t="shared" si="27"/>
        <v>0</v>
      </c>
      <c r="AF16" s="5">
        <f>IF(Datos!F17="En_Bloque",0,IF(Datos!F17="Por_Surcos",IF(Datos!G17=1,E16/Plantas_Paliativa_Por_Dia,0),0))</f>
        <v>0</v>
      </c>
      <c r="AG16" s="5">
        <f t="shared" si="28"/>
        <v>0</v>
      </c>
      <c r="AH16" s="5">
        <f t="shared" si="29"/>
        <v>0</v>
      </c>
      <c r="AI16" s="5">
        <f t="shared" si="30"/>
        <v>0</v>
      </c>
      <c r="AJ16" s="5">
        <f t="shared" si="31"/>
        <v>0</v>
      </c>
      <c r="AK16" s="5">
        <f t="shared" si="32"/>
        <v>0</v>
      </c>
      <c r="AL16" s="5">
        <f t="shared" si="33"/>
        <v>0</v>
      </c>
      <c r="AM16" s="5">
        <f t="shared" si="34"/>
        <v>0</v>
      </c>
      <c r="AN16" s="5">
        <f t="shared" si="35"/>
        <v>0</v>
      </c>
      <c r="AO16" s="5">
        <f t="shared" si="36"/>
        <v>0</v>
      </c>
      <c r="AP16" s="5">
        <f t="shared" si="37"/>
        <v>0</v>
      </c>
      <c r="AQ16" s="5">
        <f t="shared" si="38"/>
        <v>0</v>
      </c>
      <c r="AR16" s="5">
        <f t="shared" si="10"/>
        <v>0</v>
      </c>
      <c r="AS16" s="6">
        <f>'Eficiencias &amp; Configuración'!B$12*Cálculos!C16</f>
        <v>0</v>
      </c>
      <c r="AT16" s="6">
        <f>IFERROR(('Eficiencias &amp; Configuración'!B$15*C16)*'Eficiencias &amp; Configuración'!B$14,0)</f>
        <v>0</v>
      </c>
      <c r="AU16">
        <f>C16*'Eficiencias &amp; Configuración'!B$16</f>
        <v>0</v>
      </c>
      <c r="AV16">
        <f>C16*'Eficiencias &amp; Configuración'!B$19</f>
        <v>0</v>
      </c>
      <c r="AW16">
        <f>(H16*Enfermedades_Crecimiento)*'Eficiencias &amp; Configuración'!B$18</f>
        <v>0</v>
      </c>
      <c r="AX16">
        <f>(I16+J16)*Enfermedades_Producción*'Eficiencias &amp; Configuración'!B$18</f>
        <v>0</v>
      </c>
      <c r="AY16" s="23">
        <f>W16*'Eficiencias &amp; Configuración'!B$24</f>
        <v>0</v>
      </c>
      <c r="AZ16" s="4">
        <f>(W16/5)*'Eficiencias &amp; Configuración'!B$25</f>
        <v>0</v>
      </c>
      <c r="BA16" s="5">
        <f t="shared" si="39"/>
        <v>0</v>
      </c>
      <c r="BB16" s="4">
        <f t="shared" si="40"/>
        <v>0</v>
      </c>
      <c r="BC16" s="4">
        <f t="shared" si="12"/>
        <v>0</v>
      </c>
      <c r="BD16" s="4">
        <f t="shared" si="41"/>
        <v>0</v>
      </c>
      <c r="BE16" s="5">
        <f t="shared" si="42"/>
        <v>0</v>
      </c>
      <c r="BF16" s="5">
        <f t="shared" si="43"/>
        <v>0</v>
      </c>
      <c r="BG16" s="5" t="e">
        <f t="shared" si="13"/>
        <v>#DIV/0!</v>
      </c>
      <c r="BH16" s="4">
        <f t="shared" si="14"/>
        <v>0</v>
      </c>
      <c r="BI16" s="4" t="e">
        <f t="shared" si="44"/>
        <v>#DIV/0!</v>
      </c>
    </row>
    <row r="17" spans="1:61" x14ac:dyDescent="0.25">
      <c r="A17" t="str">
        <f>Datos!A18</f>
        <v>Lote 14</v>
      </c>
      <c r="B17" s="6">
        <f>Datos!B18</f>
        <v>0</v>
      </c>
      <c r="C17">
        <f>_xlfn.XLOOKUP(UM,Hoja1!A$2:A$7,Hoja1!B$2:B$7)*B17</f>
        <v>0</v>
      </c>
      <c r="D17" s="9">
        <f>IFERROR((Metros2*Datos!B18/(Datos!D18*Datos!C18)),0)</f>
        <v>0</v>
      </c>
      <c r="E17" s="6">
        <f t="shared" si="15"/>
        <v>0</v>
      </c>
      <c r="F17" s="12">
        <f t="shared" si="16"/>
        <v>0</v>
      </c>
      <c r="G17" s="6">
        <f t="shared" si="17"/>
        <v>0</v>
      </c>
      <c r="H17">
        <f t="shared" si="18"/>
        <v>0</v>
      </c>
      <c r="I17">
        <f t="shared" si="19"/>
        <v>0</v>
      </c>
      <c r="J17">
        <f t="shared" si="20"/>
        <v>0</v>
      </c>
      <c r="K17" s="9">
        <f>IF(Ciclo="_3_años",
IF(Datos!F18="Por_Surcos",
IF(Datos!G18&gt;=1,D17/3,0),
IF(Datos!F18="En_Bloque",
IF(Datos!G18=1,D17,0),
0)),0)</f>
        <v>0</v>
      </c>
      <c r="L17" s="17">
        <f>IF(Ciclo="_3_años",
IF(Datos!F18="Por_Surcos",
IF(Datos!G18&gt;=2,D17/3,0),
IF(Datos!F18="En_Bloque",
IF(Datos!G18=2,D17,0),
0)),0)</f>
        <v>0</v>
      </c>
      <c r="M17" s="9">
        <f>IF(Ciclo="_3_años",
IF(Datos!F18="Por_Surcos",
IF(Datos!G18&gt;=3,D17/3,0),
IF(Datos!F18="En_Bloque",
IF(Datos!G18=3,D17,0),
0)),0)</f>
        <v>0</v>
      </c>
      <c r="N17" s="9">
        <f>IF(Ciclo="_4_años",
IF(Datos!F18="Por_Surcos",
IF(Datos!G18&gt;=1,D17/4,0),
IF(Datos!F18="En_Bloque",
IF(Datos!G18=1,D17,0),
0)),0)</f>
        <v>0</v>
      </c>
      <c r="O17" s="9">
        <f>IF(Ciclo="_4_años",
IF(Datos!F18="Por_Surcos",
IF(Datos!G18&gt;=2,D17/4,0),
IF(Datos!F18="En_Bloque",
IF(Datos!G18=2,D17,0),
0)),0)</f>
        <v>0</v>
      </c>
      <c r="P17" s="9">
        <f>IF(Ciclo="_4_años",
IF(Datos!F18="Por_Surcos",
IF(Datos!G18&gt;=3,D17/4,0),
IF(Datos!F18="En_Bloque",
IF(Datos!G18=3,D17,0),
0)),0)</f>
        <v>0</v>
      </c>
      <c r="Q17" s="9">
        <f>IF(Ciclo="_4_años",
IF(Datos!F18="Por_Surcos",
IF(Datos!G18&gt;=4,D17/4,0),
IF(Datos!F18="En_Bloque",
IF(Datos!G18=4,D17,0),
0)),0)</f>
        <v>0</v>
      </c>
      <c r="R17" s="9">
        <f>IF(Ciclo="_5_años",
IF(Datos!F18="Por_Surcos",
IF(Datos!G18&gt;=1,D17/5,0),
IF(Datos!F18="En_Bloque",
IF(Datos!G18=1,D17,0),
0)),0)</f>
        <v>0</v>
      </c>
      <c r="S17" s="9">
        <f>IF(Ciclo="_5_años",
IF(Datos!F18="Por_Surcos",
IF(Datos!G18&gt;=2,D17/5,0),
IF(Datos!F18="En_Bloque",
IF(Datos!G18=2,D17,0),
0)),0)</f>
        <v>0</v>
      </c>
      <c r="T17" s="9">
        <f>IF(Ciclo="_5_años",
IF(Datos!F18="Por_Surcos",
IF(Datos!G18&gt;=3,D17/5,0),
IF(Datos!F18="En_Bloque",
IF(Datos!G18=3,D17,0),
0)),0)</f>
        <v>0</v>
      </c>
      <c r="U17" s="9">
        <f>IF(Ciclo="_5_años",
IF(Datos!F18="Por_Surcos",
IF(Datos!G18&gt;=4,D17/5,0),
IF(Datos!F18="En_Bloque",
IF(Datos!G18=4,D17,0),
0)),0)</f>
        <v>0</v>
      </c>
      <c r="V17" s="9">
        <f>IF(Ciclo="_5_años",
IF(Datos!F18="Por_Surcos",
IF(Datos!G18&gt;=5,D17/5,0),
IF(Datos!F18="En_Bloque",
IF(Datos!G18=5,D17,0),
0)),0)</f>
        <v>0</v>
      </c>
      <c r="W17" s="9">
        <f>(((L17*4.5)+(M17*12)+(O17*0.5)+(P17*4)+(Q17*8.5)+(S17*0.5)+(T17*4)+(U17*8.5)+(V17*6))*Datos!E18)/100</f>
        <v>0</v>
      </c>
      <c r="X17" s="6">
        <f t="shared" si="21"/>
        <v>0</v>
      </c>
      <c r="Y17" s="9">
        <f t="shared" si="4"/>
        <v>0</v>
      </c>
      <c r="Z17" s="9">
        <f t="shared" si="22"/>
        <v>0</v>
      </c>
      <c r="AA17" s="6">
        <f t="shared" si="23"/>
        <v>0</v>
      </c>
      <c r="AB17" s="9">
        <f t="shared" si="24"/>
        <v>0</v>
      </c>
      <c r="AC17" s="6">
        <f t="shared" si="25"/>
        <v>0</v>
      </c>
      <c r="AD17" s="6">
        <f t="shared" si="26"/>
        <v>0</v>
      </c>
      <c r="AE17" s="5">
        <f t="shared" si="27"/>
        <v>0</v>
      </c>
      <c r="AF17" s="5">
        <f>IF(Datos!F18="En_Bloque",0,IF(Datos!F18="Por_Surcos",IF(Datos!G18=1,E17/Plantas_Paliativa_Por_Dia,0),0))</f>
        <v>0</v>
      </c>
      <c r="AG17" s="5">
        <f t="shared" si="28"/>
        <v>0</v>
      </c>
      <c r="AH17" s="5">
        <f t="shared" si="29"/>
        <v>0</v>
      </c>
      <c r="AI17" s="5">
        <f t="shared" si="30"/>
        <v>0</v>
      </c>
      <c r="AJ17" s="5">
        <f t="shared" si="31"/>
        <v>0</v>
      </c>
      <c r="AK17" s="5">
        <f t="shared" si="32"/>
        <v>0</v>
      </c>
      <c r="AL17" s="5">
        <f t="shared" si="33"/>
        <v>0</v>
      </c>
      <c r="AM17" s="5">
        <f t="shared" si="34"/>
        <v>0</v>
      </c>
      <c r="AN17" s="5">
        <f t="shared" si="35"/>
        <v>0</v>
      </c>
      <c r="AO17" s="5">
        <f t="shared" si="36"/>
        <v>0</v>
      </c>
      <c r="AP17" s="5">
        <f t="shared" si="37"/>
        <v>0</v>
      </c>
      <c r="AQ17" s="5">
        <f t="shared" si="38"/>
        <v>0</v>
      </c>
      <c r="AR17" s="5">
        <f t="shared" si="10"/>
        <v>0</v>
      </c>
      <c r="AS17" s="6">
        <f>'Eficiencias &amp; Configuración'!B$12*Cálculos!C17</f>
        <v>0</v>
      </c>
      <c r="AT17" s="6">
        <f>IFERROR(('Eficiencias &amp; Configuración'!B$15*C17)*'Eficiencias &amp; Configuración'!B$14,0)</f>
        <v>0</v>
      </c>
      <c r="AU17">
        <f>C17*'Eficiencias &amp; Configuración'!B$16</f>
        <v>0</v>
      </c>
      <c r="AV17">
        <f>C17*'Eficiencias &amp; Configuración'!B$19</f>
        <v>0</v>
      </c>
      <c r="AW17">
        <f>(H17*Enfermedades_Crecimiento)*'Eficiencias &amp; Configuración'!B$18</f>
        <v>0</v>
      </c>
      <c r="AX17">
        <f>(I17+J17)*Enfermedades_Producción*'Eficiencias &amp; Configuración'!B$18</f>
        <v>0</v>
      </c>
      <c r="AY17" s="23">
        <f>W17*'Eficiencias &amp; Configuración'!B$24</f>
        <v>0</v>
      </c>
      <c r="AZ17" s="4">
        <f>(W17/5)*'Eficiencias &amp; Configuración'!B$25</f>
        <v>0</v>
      </c>
      <c r="BA17" s="5">
        <f t="shared" si="39"/>
        <v>0</v>
      </c>
      <c r="BB17" s="4">
        <f t="shared" si="40"/>
        <v>0</v>
      </c>
      <c r="BC17" s="4">
        <f t="shared" si="12"/>
        <v>0</v>
      </c>
      <c r="BD17" s="4">
        <f t="shared" si="41"/>
        <v>0</v>
      </c>
      <c r="BE17" s="5">
        <f t="shared" si="42"/>
        <v>0</v>
      </c>
      <c r="BF17" s="5">
        <f t="shared" si="43"/>
        <v>0</v>
      </c>
      <c r="BG17" s="5" t="e">
        <f t="shared" si="13"/>
        <v>#DIV/0!</v>
      </c>
      <c r="BH17" s="4">
        <f t="shared" si="14"/>
        <v>0</v>
      </c>
      <c r="BI17" s="4" t="e">
        <f t="shared" si="44"/>
        <v>#DIV/0!</v>
      </c>
    </row>
    <row r="18" spans="1:61" x14ac:dyDescent="0.25">
      <c r="A18" t="str">
        <f>Datos!A19</f>
        <v>Lote 15</v>
      </c>
      <c r="B18" s="6">
        <f>Datos!B19</f>
        <v>0</v>
      </c>
      <c r="C18">
        <f>_xlfn.XLOOKUP(UM,Hoja1!A$2:A$7,Hoja1!B$2:B$7)*B18</f>
        <v>0</v>
      </c>
      <c r="D18" s="9">
        <f>IFERROR((Metros2*Datos!B19/(Datos!D19*Datos!C19)),0)</f>
        <v>0</v>
      </c>
      <c r="E18" s="6">
        <f t="shared" si="15"/>
        <v>0</v>
      </c>
      <c r="F18" s="12">
        <f t="shared" si="16"/>
        <v>0</v>
      </c>
      <c r="G18" s="6">
        <f t="shared" si="17"/>
        <v>0</v>
      </c>
      <c r="H18">
        <f t="shared" si="18"/>
        <v>0</v>
      </c>
      <c r="I18">
        <f t="shared" si="19"/>
        <v>0</v>
      </c>
      <c r="J18">
        <f t="shared" si="20"/>
        <v>0</v>
      </c>
      <c r="K18" s="9">
        <f>IF(Ciclo="_3_años",
IF(Datos!F19="Por_Surcos",
IF(Datos!G19&gt;=1,D18/3,0),
IF(Datos!F19="En_Bloque",
IF(Datos!G19=1,D18,0),
0)),0)</f>
        <v>0</v>
      </c>
      <c r="L18" s="17">
        <f>IF(Ciclo="_3_años",
IF(Datos!F19="Por_Surcos",
IF(Datos!G19&gt;=2,D18/3,0),
IF(Datos!F19="En_Bloque",
IF(Datos!G19=2,D18,0),
0)),0)</f>
        <v>0</v>
      </c>
      <c r="M18" s="9">
        <f>IF(Ciclo="_3_años",
IF(Datos!F19="Por_Surcos",
IF(Datos!G19&gt;=3,D18/3,0),
IF(Datos!F19="En_Bloque",
IF(Datos!G19=3,D18,0),
0)),0)</f>
        <v>0</v>
      </c>
      <c r="N18" s="9">
        <f>IF(Ciclo="_4_años",
IF(Datos!F19="Por_Surcos",
IF(Datos!G19&gt;=1,D18/4,0),
IF(Datos!F19="En_Bloque",
IF(Datos!G19=1,D18,0),
0)),0)</f>
        <v>0</v>
      </c>
      <c r="O18" s="9">
        <f>IF(Ciclo="_4_años",
IF(Datos!F19="Por_Surcos",
IF(Datos!G19&gt;=2,D18/4,0),
IF(Datos!F19="En_Bloque",
IF(Datos!G19=2,D18,0),
0)),0)</f>
        <v>0</v>
      </c>
      <c r="P18" s="9">
        <f>IF(Ciclo="_4_años",
IF(Datos!F19="Por_Surcos",
IF(Datos!G19&gt;=3,D18/4,0),
IF(Datos!F19="En_Bloque",
IF(Datos!G19=3,D18,0),
0)),0)</f>
        <v>0</v>
      </c>
      <c r="Q18" s="9">
        <f>IF(Ciclo="_4_años",
IF(Datos!F19="Por_Surcos",
IF(Datos!G19&gt;=4,D18/4,0),
IF(Datos!F19="En_Bloque",
IF(Datos!G19=4,D18,0),
0)),0)</f>
        <v>0</v>
      </c>
      <c r="R18" s="9">
        <f>IF(Ciclo="_5_años",
IF(Datos!F19="Por_Surcos",
IF(Datos!G19&gt;=1,D18/5,0),
IF(Datos!F19="En_Bloque",
IF(Datos!G19=1,D18,0),
0)),0)</f>
        <v>0</v>
      </c>
      <c r="S18" s="9">
        <f>IF(Ciclo="_5_años",
IF(Datos!F19="Por_Surcos",
IF(Datos!G19&gt;=2,D18/5,0),
IF(Datos!F19="En_Bloque",
IF(Datos!G19=2,D18,0),
0)),0)</f>
        <v>0</v>
      </c>
      <c r="T18" s="9">
        <f>IF(Ciclo="_5_años",
IF(Datos!F19="Por_Surcos",
IF(Datos!G19&gt;=3,D18/5,0),
IF(Datos!F19="En_Bloque",
IF(Datos!G19=3,D18,0),
0)),0)</f>
        <v>0</v>
      </c>
      <c r="U18" s="9">
        <f>IF(Ciclo="_5_años",
IF(Datos!F19="Por_Surcos",
IF(Datos!G19&gt;=4,D18/5,0),
IF(Datos!F19="En_Bloque",
IF(Datos!G19=4,D18,0),
0)),0)</f>
        <v>0</v>
      </c>
      <c r="V18" s="9">
        <f>IF(Ciclo="_5_años",
IF(Datos!F19="Por_Surcos",
IF(Datos!G19&gt;=5,D18/5,0),
IF(Datos!F19="En_Bloque",
IF(Datos!G19=5,D18,0),
0)),0)</f>
        <v>0</v>
      </c>
      <c r="W18" s="9">
        <f>(((L18*4.5)+(M18*12)+(O18*0.5)+(P18*4)+(Q18*8.5)+(S18*0.5)+(T18*4)+(U18*8.5)+(V18*6))*Datos!E19)/100</f>
        <v>0</v>
      </c>
      <c r="X18" s="6">
        <f t="shared" si="21"/>
        <v>0</v>
      </c>
      <c r="Y18" s="9">
        <f t="shared" si="4"/>
        <v>0</v>
      </c>
      <c r="Z18" s="9">
        <f t="shared" si="22"/>
        <v>0</v>
      </c>
      <c r="AA18" s="6">
        <f t="shared" si="23"/>
        <v>0</v>
      </c>
      <c r="AB18" s="9">
        <f t="shared" si="24"/>
        <v>0</v>
      </c>
      <c r="AC18" s="6">
        <f t="shared" si="25"/>
        <v>0</v>
      </c>
      <c r="AD18" s="6">
        <f t="shared" si="26"/>
        <v>0</v>
      </c>
      <c r="AE18" s="5">
        <f t="shared" si="27"/>
        <v>0</v>
      </c>
      <c r="AF18" s="5">
        <f>IF(Datos!F19="En_Bloque",0,IF(Datos!F19="Por_Surcos",IF(Datos!G19=1,E18/Plantas_Paliativa_Por_Dia,0),0))</f>
        <v>0</v>
      </c>
      <c r="AG18" s="5">
        <f t="shared" si="28"/>
        <v>0</v>
      </c>
      <c r="AH18" s="5">
        <f t="shared" si="29"/>
        <v>0</v>
      </c>
      <c r="AI18" s="5">
        <f t="shared" si="30"/>
        <v>0</v>
      </c>
      <c r="AJ18" s="5">
        <f t="shared" si="31"/>
        <v>0</v>
      </c>
      <c r="AK18" s="5">
        <f t="shared" si="32"/>
        <v>0</v>
      </c>
      <c r="AL18" s="5">
        <f t="shared" si="33"/>
        <v>0</v>
      </c>
      <c r="AM18" s="5">
        <f t="shared" si="34"/>
        <v>0</v>
      </c>
      <c r="AN18" s="5">
        <f t="shared" si="35"/>
        <v>0</v>
      </c>
      <c r="AO18" s="5">
        <f t="shared" si="36"/>
        <v>0</v>
      </c>
      <c r="AP18" s="5">
        <f t="shared" si="37"/>
        <v>0</v>
      </c>
      <c r="AQ18" s="5">
        <f t="shared" si="38"/>
        <v>0</v>
      </c>
      <c r="AR18" s="5">
        <f t="shared" si="10"/>
        <v>0</v>
      </c>
      <c r="AS18" s="6">
        <f>'Eficiencias &amp; Configuración'!B$12*Cálculos!C18</f>
        <v>0</v>
      </c>
      <c r="AT18" s="6">
        <f>IFERROR(('Eficiencias &amp; Configuración'!B$15*C18)*'Eficiencias &amp; Configuración'!B$14,0)</f>
        <v>0</v>
      </c>
      <c r="AU18">
        <f>C18*'Eficiencias &amp; Configuración'!B$16</f>
        <v>0</v>
      </c>
      <c r="AV18">
        <f>C18*'Eficiencias &amp; Configuración'!B$19</f>
        <v>0</v>
      </c>
      <c r="AW18">
        <f>(H18*Enfermedades_Crecimiento)*'Eficiencias &amp; Configuración'!B$18</f>
        <v>0</v>
      </c>
      <c r="AX18">
        <f>(I18+J18)*Enfermedades_Producción*'Eficiencias &amp; Configuración'!B$18</f>
        <v>0</v>
      </c>
      <c r="AY18" s="23">
        <f>W18*'Eficiencias &amp; Configuración'!B$24</f>
        <v>0</v>
      </c>
      <c r="AZ18" s="4">
        <f>(W18/5)*'Eficiencias &amp; Configuración'!B$25</f>
        <v>0</v>
      </c>
      <c r="BA18" s="5">
        <f t="shared" si="39"/>
        <v>0</v>
      </c>
      <c r="BB18" s="4">
        <f t="shared" si="40"/>
        <v>0</v>
      </c>
      <c r="BC18" s="4">
        <f t="shared" si="12"/>
        <v>0</v>
      </c>
      <c r="BD18" s="4">
        <f t="shared" si="41"/>
        <v>0</v>
      </c>
      <c r="BE18" s="5">
        <f t="shared" si="42"/>
        <v>0</v>
      </c>
      <c r="BF18" s="5">
        <f t="shared" si="43"/>
        <v>0</v>
      </c>
      <c r="BG18" s="5" t="e">
        <f t="shared" si="13"/>
        <v>#DIV/0!</v>
      </c>
      <c r="BH18" s="4">
        <f t="shared" si="14"/>
        <v>0</v>
      </c>
      <c r="BI18" s="4" t="e">
        <f t="shared" si="44"/>
        <v>#DIV/0!</v>
      </c>
    </row>
    <row r="19" spans="1:61" ht="17" customHeight="1" x14ac:dyDescent="0.25">
      <c r="A19" t="str">
        <f>Datos!A20</f>
        <v>Lote 16</v>
      </c>
      <c r="B19" s="6">
        <f>Datos!B20</f>
        <v>0</v>
      </c>
      <c r="C19">
        <f>_xlfn.XLOOKUP(UM,Hoja1!A$2:A$7,Hoja1!B$2:B$7)*B19</f>
        <v>0</v>
      </c>
      <c r="D19" s="9">
        <f>IFERROR((Metros2*Datos!B20/(Datos!D20*Datos!C20)),0)</f>
        <v>0</v>
      </c>
      <c r="E19" s="6">
        <f t="shared" si="15"/>
        <v>0</v>
      </c>
      <c r="F19" s="12">
        <f t="shared" si="16"/>
        <v>0</v>
      </c>
      <c r="G19" s="6">
        <f t="shared" si="17"/>
        <v>0</v>
      </c>
      <c r="H19">
        <f t="shared" si="18"/>
        <v>0</v>
      </c>
      <c r="I19">
        <f t="shared" si="19"/>
        <v>0</v>
      </c>
      <c r="J19">
        <f t="shared" si="20"/>
        <v>0</v>
      </c>
      <c r="K19" s="9">
        <f>IF(Ciclo="_3_años",
IF(Datos!F20="Por_Surcos",
IF(Datos!G20&gt;=1,D19/3,0),
IF(Datos!F20="En_Bloque",
IF(Datos!G20=1,D19,0),
0)),0)</f>
        <v>0</v>
      </c>
      <c r="L19" s="17">
        <f>IF(Ciclo="_3_años",
IF(Datos!F20="Por_Surcos",
IF(Datos!G20&gt;=2,D19/3,0),
IF(Datos!F20="En_Bloque",
IF(Datos!G20=2,D19,0),
0)),0)</f>
        <v>0</v>
      </c>
      <c r="M19" s="9">
        <f>IF(Ciclo="_3_años",
IF(Datos!F20="Por_Surcos",
IF(Datos!G20&gt;=3,D19/3,0),
IF(Datos!F20="En_Bloque",
IF(Datos!G20=3,D19,0),
0)),0)</f>
        <v>0</v>
      </c>
      <c r="N19" s="9">
        <f>IF(Ciclo="_4_años",
IF(Datos!F20="Por_Surcos",
IF(Datos!G20&gt;=1,D19/4,0),
IF(Datos!F20="En_Bloque",
IF(Datos!G20=1,D19,0),
0)),0)</f>
        <v>0</v>
      </c>
      <c r="O19" s="9">
        <f>IF(Ciclo="_4_años",
IF(Datos!F20="Por_Surcos",
IF(Datos!G20&gt;=2,D19/4,0),
IF(Datos!F20="En_Bloque",
IF(Datos!G20=2,D19,0),
0)),0)</f>
        <v>0</v>
      </c>
      <c r="P19" s="9">
        <f>IF(Ciclo="_4_años",
IF(Datos!F20="Por_Surcos",
IF(Datos!G20&gt;=3,D19/4,0),
IF(Datos!F20="En_Bloque",
IF(Datos!G20=3,D19,0),
0)),0)</f>
        <v>0</v>
      </c>
      <c r="Q19" s="9">
        <f>IF(Ciclo="_4_años",
IF(Datos!F20="Por_Surcos",
IF(Datos!G20&gt;=4,D19/4,0),
IF(Datos!F20="En_Bloque",
IF(Datos!G20=4,D19,0),
0)),0)</f>
        <v>0</v>
      </c>
      <c r="R19" s="9">
        <f>IF(Ciclo="_5_años",
IF(Datos!F20="Por_Surcos",
IF(Datos!G20&gt;=1,D19/5,0),
IF(Datos!F20="En_Bloque",
IF(Datos!G20=1,D19,0),
0)),0)</f>
        <v>0</v>
      </c>
      <c r="S19" s="9">
        <f>IF(Ciclo="_5_años",
IF(Datos!F20="Por_Surcos",
IF(Datos!G20&gt;=2,D19/5,0),
IF(Datos!F20="En_Bloque",
IF(Datos!G20=2,D19,0),
0)),0)</f>
        <v>0</v>
      </c>
      <c r="T19" s="9">
        <f>IF(Ciclo="_5_años",
IF(Datos!F20="Por_Surcos",
IF(Datos!G20&gt;=3,D19/5,0),
IF(Datos!F20="En_Bloque",
IF(Datos!G20=3,D19,0),
0)),0)</f>
        <v>0</v>
      </c>
      <c r="U19" s="9">
        <f>IF(Ciclo="_5_años",
IF(Datos!F20="Por_Surcos",
IF(Datos!G20&gt;=4,D19/5,0),
IF(Datos!F20="En_Bloque",
IF(Datos!G20=4,D19,0),
0)),0)</f>
        <v>0</v>
      </c>
      <c r="V19" s="9">
        <f>IF(Ciclo="_5_años",
IF(Datos!F20="Por_Surcos",
IF(Datos!G20&gt;=5,D19/5,0),
IF(Datos!F20="En_Bloque",
IF(Datos!G20=5,D19,0),
0)),0)</f>
        <v>0</v>
      </c>
      <c r="W19" s="9">
        <f>(((L19*4.5)+(M19*12)+(O19*0.5)+(P19*4)+(Q19*8.5)+(S19*0.5)+(T19*4)+(U19*8.5)+(V19*6))*Datos!E20)/100</f>
        <v>0</v>
      </c>
      <c r="X19" s="6">
        <f t="shared" si="21"/>
        <v>0</v>
      </c>
      <c r="Y19" s="9">
        <f t="shared" si="4"/>
        <v>0</v>
      </c>
      <c r="Z19" s="9">
        <f t="shared" si="22"/>
        <v>0</v>
      </c>
      <c r="AA19" s="6">
        <f t="shared" si="23"/>
        <v>0</v>
      </c>
      <c r="AB19" s="9">
        <f t="shared" si="24"/>
        <v>0</v>
      </c>
      <c r="AC19" s="6">
        <f t="shared" si="25"/>
        <v>0</v>
      </c>
      <c r="AD19" s="6">
        <f t="shared" si="26"/>
        <v>0</v>
      </c>
      <c r="AE19" s="5">
        <f t="shared" si="27"/>
        <v>0</v>
      </c>
      <c r="AF19" s="5">
        <f>IF(Datos!F20="En_Bloque",0,IF(Datos!F20="Por_Surcos",IF(Datos!G20=1,E19/Plantas_Paliativa_Por_Dia,0),0))</f>
        <v>0</v>
      </c>
      <c r="AG19" s="5">
        <f t="shared" si="28"/>
        <v>0</v>
      </c>
      <c r="AH19" s="5">
        <f t="shared" si="29"/>
        <v>0</v>
      </c>
      <c r="AI19" s="5">
        <f t="shared" si="30"/>
        <v>0</v>
      </c>
      <c r="AJ19" s="5">
        <f t="shared" si="31"/>
        <v>0</v>
      </c>
      <c r="AK19" s="5">
        <f t="shared" si="32"/>
        <v>0</v>
      </c>
      <c r="AL19" s="5">
        <f t="shared" si="33"/>
        <v>0</v>
      </c>
      <c r="AM19" s="5">
        <f t="shared" si="34"/>
        <v>0</v>
      </c>
      <c r="AN19" s="5">
        <f t="shared" si="35"/>
        <v>0</v>
      </c>
      <c r="AO19" s="5">
        <f t="shared" si="36"/>
        <v>0</v>
      </c>
      <c r="AP19" s="5">
        <f t="shared" si="37"/>
        <v>0</v>
      </c>
      <c r="AQ19" s="5">
        <f t="shared" si="38"/>
        <v>0</v>
      </c>
      <c r="AR19" s="5">
        <f t="shared" si="10"/>
        <v>0</v>
      </c>
      <c r="AS19" s="6">
        <f>'Eficiencias &amp; Configuración'!B$12*Cálculos!C19</f>
        <v>0</v>
      </c>
      <c r="AT19" s="6">
        <f>IFERROR(('Eficiencias &amp; Configuración'!B$15*C19)*'Eficiencias &amp; Configuración'!B$14,0)</f>
        <v>0</v>
      </c>
      <c r="AU19">
        <f>C19*'Eficiencias &amp; Configuración'!B$16</f>
        <v>0</v>
      </c>
      <c r="AV19">
        <f>C19*'Eficiencias &amp; Configuración'!B$19</f>
        <v>0</v>
      </c>
      <c r="AW19">
        <f>(H19*Enfermedades_Crecimiento)*'Eficiencias &amp; Configuración'!B$18</f>
        <v>0</v>
      </c>
      <c r="AX19">
        <f>(I19+J19)*Enfermedades_Producción*'Eficiencias &amp; Configuración'!B$18</f>
        <v>0</v>
      </c>
      <c r="AY19" s="23">
        <f>W19*'Eficiencias &amp; Configuración'!B$24</f>
        <v>0</v>
      </c>
      <c r="AZ19" s="4">
        <f>(W19/5)*'Eficiencias &amp; Configuración'!B$25</f>
        <v>0</v>
      </c>
      <c r="BA19" s="5">
        <f t="shared" si="39"/>
        <v>0</v>
      </c>
      <c r="BB19" s="4">
        <f t="shared" si="40"/>
        <v>0</v>
      </c>
      <c r="BC19" s="4">
        <f t="shared" si="12"/>
        <v>0</v>
      </c>
      <c r="BD19" s="4">
        <f t="shared" si="41"/>
        <v>0</v>
      </c>
      <c r="BE19" s="5">
        <f t="shared" si="42"/>
        <v>0</v>
      </c>
      <c r="BF19" s="5">
        <f t="shared" si="43"/>
        <v>0</v>
      </c>
      <c r="BG19" s="5" t="e">
        <f t="shared" si="13"/>
        <v>#DIV/0!</v>
      </c>
      <c r="BH19" s="4">
        <f t="shared" si="14"/>
        <v>0</v>
      </c>
      <c r="BI19" s="4" t="e">
        <f t="shared" si="44"/>
        <v>#DIV/0!</v>
      </c>
    </row>
    <row r="20" spans="1:61" s="11" customFormat="1" x14ac:dyDescent="0.25">
      <c r="A20" t="str">
        <f>Datos!A21</f>
        <v>Lote 17</v>
      </c>
      <c r="B20" s="6">
        <f>Datos!B21</f>
        <v>0</v>
      </c>
      <c r="C20">
        <f>_xlfn.XLOOKUP(UM,Hoja1!A$2:A$7,Hoja1!B$2:B$7)*B20</f>
        <v>0</v>
      </c>
      <c r="D20" s="9">
        <f>IFERROR((Metros2*Datos!B21/(Datos!D21*Datos!C21)),0)</f>
        <v>0</v>
      </c>
      <c r="E20" s="6">
        <f t="shared" si="15"/>
        <v>0</v>
      </c>
      <c r="F20" s="12">
        <f t="shared" si="16"/>
        <v>0</v>
      </c>
      <c r="G20" s="6">
        <f t="shared" si="17"/>
        <v>0</v>
      </c>
      <c r="H20">
        <f t="shared" si="18"/>
        <v>0</v>
      </c>
      <c r="I20">
        <f t="shared" si="19"/>
        <v>0</v>
      </c>
      <c r="J20">
        <f t="shared" si="20"/>
        <v>0</v>
      </c>
      <c r="K20" s="9">
        <f>IF(Ciclo="_3_años",
IF(Datos!F21="Por_Surcos",
IF(Datos!G21&gt;=1,D20/3,0),
IF(Datos!F21="En_Bloque",
IF(Datos!G21=1,D20,0),
0)),0)</f>
        <v>0</v>
      </c>
      <c r="L20" s="17">
        <f>IF(Ciclo="_3_años",
IF(Datos!F21="Por_Surcos",
IF(Datos!G21&gt;=2,D20/3,0),
IF(Datos!F21="En_Bloque",
IF(Datos!G21=2,D20,0),
0)),0)</f>
        <v>0</v>
      </c>
      <c r="M20" s="9">
        <f>IF(Ciclo="_3_años",
IF(Datos!F21="Por_Surcos",
IF(Datos!G21&gt;=3,D20/3,0),
IF(Datos!F21="En_Bloque",
IF(Datos!G21=3,D20,0),
0)),0)</f>
        <v>0</v>
      </c>
      <c r="N20" s="9">
        <f>IF(Ciclo="_4_años",
IF(Datos!F21="Por_Surcos",
IF(Datos!G21&gt;=1,D20/4,0),
IF(Datos!F21="En_Bloque",
IF(Datos!G21=1,D20,0),
0)),0)</f>
        <v>0</v>
      </c>
      <c r="O20" s="9">
        <f>IF(Ciclo="_4_años",
IF(Datos!F21="Por_Surcos",
IF(Datos!G21&gt;=2,D20/4,0),
IF(Datos!F21="En_Bloque",
IF(Datos!G21=2,D20,0),
0)),0)</f>
        <v>0</v>
      </c>
      <c r="P20" s="9">
        <f>IF(Ciclo="_4_años",
IF(Datos!F21="Por_Surcos",
IF(Datos!G21&gt;=3,D20/4,0),
IF(Datos!F21="En_Bloque",
IF(Datos!G21=3,D20,0),
0)),0)</f>
        <v>0</v>
      </c>
      <c r="Q20" s="9">
        <f>IF(Ciclo="_4_años",
IF(Datos!F21="Por_Surcos",
IF(Datos!G21&gt;=4,D20/4,0),
IF(Datos!F21="En_Bloque",
IF(Datos!G21=4,D20,0),
0)),0)</f>
        <v>0</v>
      </c>
      <c r="R20" s="9">
        <f>IF(Ciclo="_5_años",
IF(Datos!F21="Por_Surcos",
IF(Datos!G21&gt;=1,D20/5,0),
IF(Datos!F21="En_Bloque",
IF(Datos!G21=1,D20,0),
0)),0)</f>
        <v>0</v>
      </c>
      <c r="S20" s="9">
        <f>IF(Ciclo="_5_años",
IF(Datos!F21="Por_Surcos",
IF(Datos!G21&gt;=2,D20/5,0),
IF(Datos!F21="En_Bloque",
IF(Datos!G21=2,D20,0),
0)),0)</f>
        <v>0</v>
      </c>
      <c r="T20" s="9">
        <f>IF(Ciclo="_5_años",
IF(Datos!F21="Por_Surcos",
IF(Datos!G21&gt;=3,D20/5,0),
IF(Datos!F21="En_Bloque",
IF(Datos!G21=3,D20,0),
0)),0)</f>
        <v>0</v>
      </c>
      <c r="U20" s="9">
        <f>IF(Ciclo="_5_años",
IF(Datos!F21="Por_Surcos",
IF(Datos!G21&gt;=4,D20/5,0),
IF(Datos!F21="En_Bloque",
IF(Datos!G21=4,D20,0),
0)),0)</f>
        <v>0</v>
      </c>
      <c r="V20" s="9">
        <f>IF(Ciclo="_5_años",
IF(Datos!F21="Por_Surcos",
IF(Datos!G21&gt;=5,D20/5,0),
IF(Datos!F21="En_Bloque",
IF(Datos!G21=5,D20,0),
0)),0)</f>
        <v>0</v>
      </c>
      <c r="W20" s="9">
        <f>(((L20*4.5)+(M20*12)+(O20*0.5)+(P20*4)+(Q20*8.5)+(S20*0.5)+(T20*4)+(U20*8.5)+(V20*6))*Datos!E21)/100</f>
        <v>0</v>
      </c>
      <c r="X20" s="6">
        <f t="shared" si="21"/>
        <v>0</v>
      </c>
      <c r="Y20" s="9">
        <f t="shared" si="4"/>
        <v>0</v>
      </c>
      <c r="Z20" s="9">
        <f t="shared" si="22"/>
        <v>0</v>
      </c>
      <c r="AA20" s="6">
        <f t="shared" si="23"/>
        <v>0</v>
      </c>
      <c r="AB20" s="9">
        <f t="shared" si="24"/>
        <v>0</v>
      </c>
      <c r="AC20" s="6">
        <f t="shared" si="25"/>
        <v>0</v>
      </c>
      <c r="AD20" s="6">
        <f t="shared" si="26"/>
        <v>0</v>
      </c>
      <c r="AE20" s="5">
        <f t="shared" si="27"/>
        <v>0</v>
      </c>
      <c r="AF20" s="5">
        <f>IF(Datos!F21="En_Bloque",0,IF(Datos!F21="Por_Surcos",IF(Datos!G21=1,E20/Plantas_Paliativa_Por_Dia,0),0))</f>
        <v>0</v>
      </c>
      <c r="AG20" s="5">
        <f t="shared" si="28"/>
        <v>0</v>
      </c>
      <c r="AH20" s="5">
        <f t="shared" si="29"/>
        <v>0</v>
      </c>
      <c r="AI20" s="5">
        <f t="shared" si="30"/>
        <v>0</v>
      </c>
      <c r="AJ20" s="5">
        <f t="shared" si="31"/>
        <v>0</v>
      </c>
      <c r="AK20" s="5">
        <f t="shared" si="32"/>
        <v>0</v>
      </c>
      <c r="AL20" s="5">
        <f t="shared" si="33"/>
        <v>0</v>
      </c>
      <c r="AM20" s="5">
        <f t="shared" si="34"/>
        <v>0</v>
      </c>
      <c r="AN20" s="5">
        <f t="shared" si="35"/>
        <v>0</v>
      </c>
      <c r="AO20" s="5">
        <f t="shared" si="36"/>
        <v>0</v>
      </c>
      <c r="AP20" s="5">
        <f t="shared" si="37"/>
        <v>0</v>
      </c>
      <c r="AQ20" s="5">
        <f t="shared" si="38"/>
        <v>0</v>
      </c>
      <c r="AR20" s="5">
        <f t="shared" si="10"/>
        <v>0</v>
      </c>
      <c r="AS20" s="6">
        <f>'Eficiencias &amp; Configuración'!B$12*Cálculos!C20</f>
        <v>0</v>
      </c>
      <c r="AT20" s="6">
        <f>IFERROR(('Eficiencias &amp; Configuración'!B$15*C20)*'Eficiencias &amp; Configuración'!B$14,0)</f>
        <v>0</v>
      </c>
      <c r="AU20">
        <f>C20*'Eficiencias &amp; Configuración'!B$16</f>
        <v>0</v>
      </c>
      <c r="AV20">
        <f>C20*'Eficiencias &amp; Configuración'!B$19</f>
        <v>0</v>
      </c>
      <c r="AW20">
        <f>(H20*Enfermedades_Crecimiento)*'Eficiencias &amp; Configuración'!B$18</f>
        <v>0</v>
      </c>
      <c r="AX20">
        <f>(I20+J20)*Enfermedades_Producción*'Eficiencias &amp; Configuración'!B$18</f>
        <v>0</v>
      </c>
      <c r="AY20" s="23">
        <f>W20*'Eficiencias &amp; Configuración'!B$24</f>
        <v>0</v>
      </c>
      <c r="AZ20" s="4">
        <f>(W20/5)*'Eficiencias &amp; Configuración'!B$25</f>
        <v>0</v>
      </c>
      <c r="BA20" s="5">
        <f t="shared" si="39"/>
        <v>0</v>
      </c>
      <c r="BB20" s="4">
        <f t="shared" si="40"/>
        <v>0</v>
      </c>
      <c r="BC20" s="4">
        <f t="shared" si="12"/>
        <v>0</v>
      </c>
      <c r="BD20" s="4">
        <f t="shared" si="41"/>
        <v>0</v>
      </c>
      <c r="BE20" s="5">
        <f t="shared" si="42"/>
        <v>0</v>
      </c>
      <c r="BF20" s="5">
        <f t="shared" si="43"/>
        <v>0</v>
      </c>
      <c r="BG20" s="5" t="e">
        <f t="shared" si="13"/>
        <v>#DIV/0!</v>
      </c>
      <c r="BH20" s="4">
        <f t="shared" si="14"/>
        <v>0</v>
      </c>
      <c r="BI20" s="4" t="e">
        <f t="shared" si="44"/>
        <v>#DIV/0!</v>
      </c>
    </row>
    <row r="21" spans="1:61" x14ac:dyDescent="0.25">
      <c r="A21" t="str">
        <f>Datos!A22</f>
        <v>Lote 18</v>
      </c>
      <c r="B21" s="6">
        <f>Datos!B22</f>
        <v>0</v>
      </c>
      <c r="C21">
        <f>_xlfn.XLOOKUP(UM,Hoja1!A$2:A$7,Hoja1!B$2:B$7)*B21</f>
        <v>0</v>
      </c>
      <c r="D21" s="9">
        <f>IFERROR((Metros2*Datos!B22/(Datos!D22*Datos!C22)),0)</f>
        <v>0</v>
      </c>
      <c r="E21" s="6">
        <f t="shared" si="15"/>
        <v>0</v>
      </c>
      <c r="F21" s="12">
        <f t="shared" si="16"/>
        <v>0</v>
      </c>
      <c r="G21" s="6">
        <f t="shared" si="17"/>
        <v>0</v>
      </c>
      <c r="H21">
        <f t="shared" si="18"/>
        <v>0</v>
      </c>
      <c r="I21">
        <f t="shared" si="19"/>
        <v>0</v>
      </c>
      <c r="J21">
        <f t="shared" si="20"/>
        <v>0</v>
      </c>
      <c r="K21" s="9">
        <f>IF(Ciclo="_3_años",
IF(Datos!F22="Por_Surcos",
IF(Datos!G22&gt;=1,D21/3,0),
IF(Datos!F22="En_Bloque",
IF(Datos!G22=1,D21,0),
0)),0)</f>
        <v>0</v>
      </c>
      <c r="L21" s="17">
        <f>IF(Ciclo="_3_años",
IF(Datos!F22="Por_Surcos",
IF(Datos!G22&gt;=2,D21/3,0),
IF(Datos!F22="En_Bloque",
IF(Datos!G22=2,D21,0),
0)),0)</f>
        <v>0</v>
      </c>
      <c r="M21" s="9">
        <f>IF(Ciclo="_3_años",
IF(Datos!F22="Por_Surcos",
IF(Datos!G22&gt;=3,D21/3,0),
IF(Datos!F22="En_Bloque",
IF(Datos!G22=3,D21,0),
0)),0)</f>
        <v>0</v>
      </c>
      <c r="N21" s="9">
        <f>IF(Ciclo="_4_años",
IF(Datos!F22="Por_Surcos",
IF(Datos!G22&gt;=1,D21/4,0),
IF(Datos!F22="En_Bloque",
IF(Datos!G22=1,D21,0),
0)),0)</f>
        <v>0</v>
      </c>
      <c r="O21" s="9">
        <f>IF(Ciclo="_4_años",
IF(Datos!F22="Por_Surcos",
IF(Datos!G22&gt;=2,D21/4,0),
IF(Datos!F22="En_Bloque",
IF(Datos!G22=2,D21,0),
0)),0)</f>
        <v>0</v>
      </c>
      <c r="P21" s="9">
        <f>IF(Ciclo="_4_años",
IF(Datos!F22="Por_Surcos",
IF(Datos!G22&gt;=3,D21/4,0),
IF(Datos!F22="En_Bloque",
IF(Datos!G22=3,D21,0),
0)),0)</f>
        <v>0</v>
      </c>
      <c r="Q21" s="9">
        <f>IF(Ciclo="_4_años",
IF(Datos!F22="Por_Surcos",
IF(Datos!G22&gt;=4,D21/4,0),
IF(Datos!F22="En_Bloque",
IF(Datos!G22=4,D21,0),
0)),0)</f>
        <v>0</v>
      </c>
      <c r="R21" s="9">
        <f>IF(Ciclo="_5_años",
IF(Datos!F22="Por_Surcos",
IF(Datos!G22&gt;=1,D21/5,0),
IF(Datos!F22="En_Bloque",
IF(Datos!G22=1,D21,0),
0)),0)</f>
        <v>0</v>
      </c>
      <c r="S21" s="9">
        <f>IF(Ciclo="_5_años",
IF(Datos!F22="Por_Surcos",
IF(Datos!G22&gt;=2,D21/5,0),
IF(Datos!F22="En_Bloque",
IF(Datos!G22=2,D21,0),
0)),0)</f>
        <v>0</v>
      </c>
      <c r="T21" s="9">
        <f>IF(Ciclo="_5_años",
IF(Datos!F22="Por_Surcos",
IF(Datos!G22&gt;=3,D21/5,0),
IF(Datos!F22="En_Bloque",
IF(Datos!G22=3,D21,0),
0)),0)</f>
        <v>0</v>
      </c>
      <c r="U21" s="9">
        <f>IF(Ciclo="_5_años",
IF(Datos!F22="Por_Surcos",
IF(Datos!G22&gt;=4,D21/5,0),
IF(Datos!F22="En_Bloque",
IF(Datos!G22=4,D21,0),
0)),0)</f>
        <v>0</v>
      </c>
      <c r="V21" s="9">
        <f>IF(Ciclo="_5_años",
IF(Datos!F22="Por_Surcos",
IF(Datos!G22&gt;=5,D21/5,0),
IF(Datos!F22="En_Bloque",
IF(Datos!G22=5,D21,0),
0)),0)</f>
        <v>0</v>
      </c>
      <c r="W21" s="9">
        <f>(((L21*4.5)+(M21*12)+(O21*0.5)+(P21*4)+(Q21*8.5)+(S21*0.5)+(T21*4)+(U21*8.5)+(V21*6))*Datos!E22)/100</f>
        <v>0</v>
      </c>
      <c r="X21" s="6">
        <f t="shared" si="21"/>
        <v>0</v>
      </c>
      <c r="Y21" s="9">
        <f t="shared" si="4"/>
        <v>0</v>
      </c>
      <c r="Z21" s="9">
        <f t="shared" si="22"/>
        <v>0</v>
      </c>
      <c r="AA21" s="6">
        <f t="shared" si="23"/>
        <v>0</v>
      </c>
      <c r="AB21" s="9">
        <f t="shared" si="24"/>
        <v>0</v>
      </c>
      <c r="AC21" s="6">
        <f t="shared" si="25"/>
        <v>0</v>
      </c>
      <c r="AD21" s="6">
        <f t="shared" si="26"/>
        <v>0</v>
      </c>
      <c r="AE21" s="5">
        <f t="shared" si="27"/>
        <v>0</v>
      </c>
      <c r="AF21" s="5">
        <f>IF(Datos!F22="En_Bloque",0,IF(Datos!F22="Por_Surcos",IF(Datos!G22=1,E21/Plantas_Paliativa_Por_Dia,0),0))</f>
        <v>0</v>
      </c>
      <c r="AG21" s="5">
        <f t="shared" si="28"/>
        <v>0</v>
      </c>
      <c r="AH21" s="5">
        <f t="shared" si="29"/>
        <v>0</v>
      </c>
      <c r="AI21" s="5">
        <f t="shared" si="30"/>
        <v>0</v>
      </c>
      <c r="AJ21" s="5">
        <f t="shared" si="31"/>
        <v>0</v>
      </c>
      <c r="AK21" s="5">
        <f t="shared" si="32"/>
        <v>0</v>
      </c>
      <c r="AL21" s="5">
        <f t="shared" si="33"/>
        <v>0</v>
      </c>
      <c r="AM21" s="5">
        <f t="shared" si="34"/>
        <v>0</v>
      </c>
      <c r="AN21" s="5">
        <f t="shared" si="35"/>
        <v>0</v>
      </c>
      <c r="AO21" s="5">
        <f t="shared" si="36"/>
        <v>0</v>
      </c>
      <c r="AP21" s="5">
        <f t="shared" si="37"/>
        <v>0</v>
      </c>
      <c r="AQ21" s="5">
        <f t="shared" si="38"/>
        <v>0</v>
      </c>
      <c r="AR21" s="5">
        <f t="shared" si="10"/>
        <v>0</v>
      </c>
      <c r="AS21" s="6">
        <f>'Eficiencias &amp; Configuración'!B$12*Cálculos!C21</f>
        <v>0</v>
      </c>
      <c r="AT21" s="6">
        <f>IFERROR(('Eficiencias &amp; Configuración'!B$15*C21)*'Eficiencias &amp; Configuración'!B$14,0)</f>
        <v>0</v>
      </c>
      <c r="AU21">
        <f>C21*'Eficiencias &amp; Configuración'!B$16</f>
        <v>0</v>
      </c>
      <c r="AV21">
        <f>C21*'Eficiencias &amp; Configuración'!B$19</f>
        <v>0</v>
      </c>
      <c r="AW21">
        <f>(H21*Enfermedades_Crecimiento)*'Eficiencias &amp; Configuración'!B$18</f>
        <v>0</v>
      </c>
      <c r="AX21">
        <f>(I21+J21)*Enfermedades_Producción*'Eficiencias &amp; Configuración'!B$18</f>
        <v>0</v>
      </c>
      <c r="AY21" s="23">
        <f>W21*'Eficiencias &amp; Configuración'!B$24</f>
        <v>0</v>
      </c>
      <c r="AZ21" s="4">
        <f>(W21/5)*'Eficiencias &amp; Configuración'!B$25</f>
        <v>0</v>
      </c>
      <c r="BA21" s="5">
        <f t="shared" si="39"/>
        <v>0</v>
      </c>
      <c r="BB21" s="4">
        <f t="shared" si="40"/>
        <v>0</v>
      </c>
      <c r="BC21" s="4">
        <f t="shared" si="12"/>
        <v>0</v>
      </c>
      <c r="BD21" s="4">
        <f t="shared" si="41"/>
        <v>0</v>
      </c>
      <c r="BE21" s="5">
        <f t="shared" si="42"/>
        <v>0</v>
      </c>
      <c r="BF21" s="5">
        <f t="shared" si="43"/>
        <v>0</v>
      </c>
      <c r="BG21" s="5" t="e">
        <f t="shared" si="13"/>
        <v>#DIV/0!</v>
      </c>
      <c r="BH21" s="4">
        <f t="shared" si="14"/>
        <v>0</v>
      </c>
      <c r="BI21" s="4" t="e">
        <f t="shared" si="44"/>
        <v>#DIV/0!</v>
      </c>
    </row>
    <row r="22" spans="1:61" x14ac:dyDescent="0.25">
      <c r="A22" t="str">
        <f>Datos!A23</f>
        <v>Lote 19</v>
      </c>
      <c r="B22" s="6">
        <f>Datos!B23</f>
        <v>0</v>
      </c>
      <c r="C22">
        <f>_xlfn.XLOOKUP(UM,Hoja1!A$2:A$7,Hoja1!B$2:B$7)*B22</f>
        <v>0</v>
      </c>
      <c r="D22" s="9">
        <f>IFERROR((Metros2*Datos!B23/(Datos!D23*Datos!C23)),0)</f>
        <v>0</v>
      </c>
      <c r="E22" s="6">
        <f t="shared" si="15"/>
        <v>0</v>
      </c>
      <c r="F22" s="12">
        <f t="shared" si="16"/>
        <v>0</v>
      </c>
      <c r="G22" s="6">
        <f t="shared" si="17"/>
        <v>0</v>
      </c>
      <c r="H22">
        <f t="shared" si="18"/>
        <v>0</v>
      </c>
      <c r="I22">
        <f t="shared" si="19"/>
        <v>0</v>
      </c>
      <c r="J22">
        <f t="shared" si="20"/>
        <v>0</v>
      </c>
      <c r="K22" s="9">
        <f>IF(Ciclo="_3_años",
IF(Datos!F23="Por_Surcos",
IF(Datos!G23&gt;=1,D22/3,0),
IF(Datos!F23="En_Bloque",
IF(Datos!G23=1,D22,0),
0)),0)</f>
        <v>0</v>
      </c>
      <c r="L22" s="17">
        <f>IF(Ciclo="_3_años",
IF(Datos!F23="Por_Surcos",
IF(Datos!G23&gt;=2,D22/3,0),
IF(Datos!F23="En_Bloque",
IF(Datos!G23=2,D22,0),
0)),0)</f>
        <v>0</v>
      </c>
      <c r="M22" s="9">
        <f>IF(Ciclo="_3_años",
IF(Datos!F23="Por_Surcos",
IF(Datos!G23&gt;=3,D22/3,0),
IF(Datos!F23="En_Bloque",
IF(Datos!G23=3,D22,0),
0)),0)</f>
        <v>0</v>
      </c>
      <c r="N22" s="9">
        <f>IF(Ciclo="_4_años",
IF(Datos!F23="Por_Surcos",
IF(Datos!G23&gt;=1,D22/4,0),
IF(Datos!F23="En_Bloque",
IF(Datos!G23=1,D22,0),
0)),0)</f>
        <v>0</v>
      </c>
      <c r="O22" s="9">
        <f>IF(Ciclo="_4_años",
IF(Datos!F23="Por_Surcos",
IF(Datos!G23&gt;=2,D22/4,0),
IF(Datos!F23="En_Bloque",
IF(Datos!G23=2,D22,0),
0)),0)</f>
        <v>0</v>
      </c>
      <c r="P22" s="9">
        <f>IF(Ciclo="_4_años",
IF(Datos!F23="Por_Surcos",
IF(Datos!G23&gt;=3,D22/4,0),
IF(Datos!F23="En_Bloque",
IF(Datos!G23=3,D22,0),
0)),0)</f>
        <v>0</v>
      </c>
      <c r="Q22" s="9">
        <f>IF(Ciclo="_4_años",
IF(Datos!F23="Por_Surcos",
IF(Datos!G23&gt;=4,D22/4,0),
IF(Datos!F23="En_Bloque",
IF(Datos!G23=4,D22,0),
0)),0)</f>
        <v>0</v>
      </c>
      <c r="R22" s="9">
        <f>IF(Ciclo="_5_años",
IF(Datos!F23="Por_Surcos",
IF(Datos!G23&gt;=1,D22/5,0),
IF(Datos!F23="En_Bloque",
IF(Datos!G23=1,D22,0),
0)),0)</f>
        <v>0</v>
      </c>
      <c r="S22" s="9">
        <f>IF(Ciclo="_5_años",
IF(Datos!F23="Por_Surcos",
IF(Datos!G23&gt;=2,D22/5,0),
IF(Datos!F23="En_Bloque",
IF(Datos!G23=2,D22,0),
0)),0)</f>
        <v>0</v>
      </c>
      <c r="T22" s="9">
        <f>IF(Ciclo="_5_años",
IF(Datos!F23="Por_Surcos",
IF(Datos!G23&gt;=3,D22/5,0),
IF(Datos!F23="En_Bloque",
IF(Datos!G23=3,D22,0),
0)),0)</f>
        <v>0</v>
      </c>
      <c r="U22" s="9">
        <f>IF(Ciclo="_5_años",
IF(Datos!F23="Por_Surcos",
IF(Datos!G23&gt;=4,D22/5,0),
IF(Datos!F23="En_Bloque",
IF(Datos!G23=4,D22,0),
0)),0)</f>
        <v>0</v>
      </c>
      <c r="V22" s="9">
        <f>IF(Ciclo="_5_años",
IF(Datos!F23="Por_Surcos",
IF(Datos!G23&gt;=5,D22/5,0),
IF(Datos!F23="En_Bloque",
IF(Datos!G23=5,D22,0),
0)),0)</f>
        <v>0</v>
      </c>
      <c r="W22" s="9">
        <f>(((L22*4.5)+(M22*12)+(O22*0.5)+(P22*4)+(Q22*8.5)+(S22*0.5)+(T22*4)+(U22*8.5)+(V22*6))*Datos!E23)/100</f>
        <v>0</v>
      </c>
      <c r="X22" s="6">
        <f t="shared" si="21"/>
        <v>0</v>
      </c>
      <c r="Y22" s="9">
        <f t="shared" si="4"/>
        <v>0</v>
      </c>
      <c r="Z22" s="9">
        <f t="shared" si="22"/>
        <v>0</v>
      </c>
      <c r="AA22" s="6">
        <f t="shared" si="23"/>
        <v>0</v>
      </c>
      <c r="AB22" s="9">
        <f t="shared" si="24"/>
        <v>0</v>
      </c>
      <c r="AC22" s="6">
        <f t="shared" si="25"/>
        <v>0</v>
      </c>
      <c r="AD22" s="6">
        <f t="shared" si="26"/>
        <v>0</v>
      </c>
      <c r="AE22" s="5">
        <f t="shared" si="27"/>
        <v>0</v>
      </c>
      <c r="AF22" s="5">
        <f>IF(Datos!F23="En_Bloque",0,IF(Datos!F23="Por_Surcos",IF(Datos!G23=1,E22/Plantas_Paliativa_Por_Dia,0),0))</f>
        <v>0</v>
      </c>
      <c r="AG22" s="5">
        <f t="shared" si="28"/>
        <v>0</v>
      </c>
      <c r="AH22" s="5">
        <f t="shared" si="29"/>
        <v>0</v>
      </c>
      <c r="AI22" s="5">
        <f t="shared" si="30"/>
        <v>0</v>
      </c>
      <c r="AJ22" s="5">
        <f t="shared" si="31"/>
        <v>0</v>
      </c>
      <c r="AK22" s="5">
        <f t="shared" si="32"/>
        <v>0</v>
      </c>
      <c r="AL22" s="5">
        <f t="shared" si="33"/>
        <v>0</v>
      </c>
      <c r="AM22" s="5">
        <f t="shared" si="34"/>
        <v>0</v>
      </c>
      <c r="AN22" s="5">
        <f t="shared" si="35"/>
        <v>0</v>
      </c>
      <c r="AO22" s="5">
        <f t="shared" si="36"/>
        <v>0</v>
      </c>
      <c r="AP22" s="5">
        <f t="shared" si="37"/>
        <v>0</v>
      </c>
      <c r="AQ22" s="5">
        <f t="shared" si="38"/>
        <v>0</v>
      </c>
      <c r="AR22" s="5">
        <f t="shared" si="10"/>
        <v>0</v>
      </c>
      <c r="AS22" s="6">
        <f>'Eficiencias &amp; Configuración'!B$12*Cálculos!C22</f>
        <v>0</v>
      </c>
      <c r="AT22" s="6">
        <f>IFERROR(('Eficiencias &amp; Configuración'!B$15*C22)*'Eficiencias &amp; Configuración'!B$14,0)</f>
        <v>0</v>
      </c>
      <c r="AU22">
        <f>C22*'Eficiencias &amp; Configuración'!B$16</f>
        <v>0</v>
      </c>
      <c r="AV22">
        <f>C22*'Eficiencias &amp; Configuración'!B$19</f>
        <v>0</v>
      </c>
      <c r="AW22">
        <f>(H22*Enfermedades_Crecimiento)*'Eficiencias &amp; Configuración'!B$18</f>
        <v>0</v>
      </c>
      <c r="AX22">
        <f>(I22+J22)*Enfermedades_Producción*'Eficiencias &amp; Configuración'!B$18</f>
        <v>0</v>
      </c>
      <c r="AY22" s="23">
        <f>W22*'Eficiencias &amp; Configuración'!B$24</f>
        <v>0</v>
      </c>
      <c r="AZ22" s="4">
        <f>(W22/5)*'Eficiencias &amp; Configuración'!B$25</f>
        <v>0</v>
      </c>
      <c r="BA22" s="5">
        <f t="shared" si="39"/>
        <v>0</v>
      </c>
      <c r="BB22" s="4">
        <f t="shared" si="40"/>
        <v>0</v>
      </c>
      <c r="BC22" s="4">
        <f t="shared" si="12"/>
        <v>0</v>
      </c>
      <c r="BD22" s="4">
        <f t="shared" si="41"/>
        <v>0</v>
      </c>
      <c r="BE22" s="5">
        <f t="shared" si="42"/>
        <v>0</v>
      </c>
      <c r="BF22" s="5">
        <f t="shared" si="43"/>
        <v>0</v>
      </c>
      <c r="BG22" s="5" t="e">
        <f t="shared" si="13"/>
        <v>#DIV/0!</v>
      </c>
      <c r="BH22" s="4">
        <f t="shared" si="14"/>
        <v>0</v>
      </c>
      <c r="BI22" s="4" t="e">
        <f t="shared" si="44"/>
        <v>#DIV/0!</v>
      </c>
    </row>
    <row r="23" spans="1:61" x14ac:dyDescent="0.25">
      <c r="A23" t="str">
        <f>Datos!A24</f>
        <v>Lote 20</v>
      </c>
      <c r="B23" s="6">
        <f>Datos!B24</f>
        <v>0</v>
      </c>
      <c r="C23">
        <f>_xlfn.XLOOKUP(UM,Hoja1!A$2:A$7,Hoja1!B$2:B$7)*B23</f>
        <v>0</v>
      </c>
      <c r="D23" s="9">
        <f>IFERROR((Metros2*Datos!B24/(Datos!D24*Datos!C24)),0)</f>
        <v>0</v>
      </c>
      <c r="E23" s="6">
        <f t="shared" si="15"/>
        <v>0</v>
      </c>
      <c r="F23" s="12">
        <f t="shared" si="16"/>
        <v>0</v>
      </c>
      <c r="G23" s="6">
        <f t="shared" si="17"/>
        <v>0</v>
      </c>
      <c r="H23">
        <f t="shared" si="18"/>
        <v>0</v>
      </c>
      <c r="I23">
        <f t="shared" si="19"/>
        <v>0</v>
      </c>
      <c r="J23">
        <f t="shared" si="20"/>
        <v>0</v>
      </c>
      <c r="K23" s="9">
        <f>IF(Ciclo="_3_años",
IF(Datos!F24="Por_Surcos",
IF(Datos!G24&gt;=1,D23/3,0),
IF(Datos!F24="En_Bloque",
IF(Datos!G24=1,D23,0),
0)),0)</f>
        <v>0</v>
      </c>
      <c r="L23" s="17">
        <f>IF(Ciclo="_3_años",
IF(Datos!F24="Por_Surcos",
IF(Datos!G24&gt;=2,D23/3,0),
IF(Datos!F24="En_Bloque",
IF(Datos!G24=2,D23,0),
0)),0)</f>
        <v>0</v>
      </c>
      <c r="M23" s="9">
        <f>IF(Ciclo="_3_años",
IF(Datos!F24="Por_Surcos",
IF(Datos!G24&gt;=3,D23/3,0),
IF(Datos!F24="En_Bloque",
IF(Datos!G24=3,D23,0),
0)),0)</f>
        <v>0</v>
      </c>
      <c r="N23" s="9">
        <f>IF(Ciclo="_4_años",
IF(Datos!F24="Por_Surcos",
IF(Datos!G24&gt;=1,D23/4,0),
IF(Datos!F24="En_Bloque",
IF(Datos!G24=1,D23,0),
0)),0)</f>
        <v>0</v>
      </c>
      <c r="O23" s="9">
        <f>IF(Ciclo="_4_años",
IF(Datos!F24="Por_Surcos",
IF(Datos!G24&gt;=2,D23/4,0),
IF(Datos!F24="En_Bloque",
IF(Datos!G24=2,D23,0),
0)),0)</f>
        <v>0</v>
      </c>
      <c r="P23" s="9">
        <f>IF(Ciclo="_4_años",
IF(Datos!F24="Por_Surcos",
IF(Datos!G24&gt;=3,D23/4,0),
IF(Datos!F24="En_Bloque",
IF(Datos!G24=3,D23,0),
0)),0)</f>
        <v>0</v>
      </c>
      <c r="Q23" s="9">
        <f>IF(Ciclo="_4_años",
IF(Datos!F24="Por_Surcos",
IF(Datos!G24&gt;=4,D23/4,0),
IF(Datos!F24="En_Bloque",
IF(Datos!G24=4,D23,0),
0)),0)</f>
        <v>0</v>
      </c>
      <c r="R23" s="9">
        <f>IF(Ciclo="_5_años",
IF(Datos!F24="Por_Surcos",
IF(Datos!G24&gt;=1,D23/5,0),
IF(Datos!F24="En_Bloque",
IF(Datos!G24=1,D23,0),
0)),0)</f>
        <v>0</v>
      </c>
      <c r="S23" s="9">
        <f>IF(Ciclo="_5_años",
IF(Datos!F24="Por_Surcos",
IF(Datos!G24&gt;=2,D23/5,0),
IF(Datos!F24="En_Bloque",
IF(Datos!G24=2,D23,0),
0)),0)</f>
        <v>0</v>
      </c>
      <c r="T23" s="9">
        <f>IF(Ciclo="_5_años",
IF(Datos!F24="Por_Surcos",
IF(Datos!G24&gt;=3,D23/5,0),
IF(Datos!F24="En_Bloque",
IF(Datos!G24=3,D23,0),
0)),0)</f>
        <v>0</v>
      </c>
      <c r="U23" s="9">
        <f>IF(Ciclo="_5_años",
IF(Datos!F24="Por_Surcos",
IF(Datos!G24&gt;=4,D23/5,0),
IF(Datos!F24="En_Bloque",
IF(Datos!G24=4,D23,0),
0)),0)</f>
        <v>0</v>
      </c>
      <c r="V23" s="9">
        <f>IF(Ciclo="_5_años",
IF(Datos!F24="Por_Surcos",
IF(Datos!G24&gt;=5,D23/5,0),
IF(Datos!F24="En_Bloque",
IF(Datos!G24=5,D23,0),
0)),0)</f>
        <v>0</v>
      </c>
      <c r="W23" s="9">
        <f>(((L23*4.5)+(M23*12)+(O23*0.5)+(P23*4)+(Q23*8.5)+(S23*0.5)+(T23*4)+(U23*8.5)+(V23*6))*Datos!E24)/100</f>
        <v>0</v>
      </c>
      <c r="X23" s="6">
        <f t="shared" si="21"/>
        <v>0</v>
      </c>
      <c r="Y23" s="9">
        <f t="shared" si="4"/>
        <v>0</v>
      </c>
      <c r="Z23" s="9">
        <f t="shared" si="22"/>
        <v>0</v>
      </c>
      <c r="AA23" s="6">
        <f t="shared" si="23"/>
        <v>0</v>
      </c>
      <c r="AB23" s="9">
        <f t="shared" si="24"/>
        <v>0</v>
      </c>
      <c r="AC23" s="6">
        <f t="shared" si="25"/>
        <v>0</v>
      </c>
      <c r="AD23" s="6">
        <f t="shared" si="26"/>
        <v>0</v>
      </c>
      <c r="AE23" s="5">
        <f t="shared" si="27"/>
        <v>0</v>
      </c>
      <c r="AF23" s="5">
        <f>IF(Datos!F24="En_Bloque",0,IF(Datos!F24="Por_Surcos",IF(Datos!G24=1,E23/Plantas_Paliativa_Por_Dia,0),0))</f>
        <v>0</v>
      </c>
      <c r="AG23" s="5">
        <f t="shared" si="28"/>
        <v>0</v>
      </c>
      <c r="AH23" s="5">
        <f t="shared" si="29"/>
        <v>0</v>
      </c>
      <c r="AI23" s="5">
        <f t="shared" si="30"/>
        <v>0</v>
      </c>
      <c r="AJ23" s="5">
        <f t="shared" si="31"/>
        <v>0</v>
      </c>
      <c r="AK23" s="5">
        <f t="shared" si="32"/>
        <v>0</v>
      </c>
      <c r="AL23" s="5">
        <f t="shared" si="33"/>
        <v>0</v>
      </c>
      <c r="AM23" s="5">
        <f t="shared" si="34"/>
        <v>0</v>
      </c>
      <c r="AN23" s="5">
        <f t="shared" si="35"/>
        <v>0</v>
      </c>
      <c r="AO23" s="5">
        <f t="shared" si="36"/>
        <v>0</v>
      </c>
      <c r="AP23" s="5">
        <f t="shared" si="37"/>
        <v>0</v>
      </c>
      <c r="AQ23" s="5">
        <f t="shared" si="38"/>
        <v>0</v>
      </c>
      <c r="AR23" s="5">
        <f t="shared" si="10"/>
        <v>0</v>
      </c>
      <c r="AS23" s="6">
        <f>'Eficiencias &amp; Configuración'!B$12*Cálculos!C23</f>
        <v>0</v>
      </c>
      <c r="AT23" s="6">
        <f>IFERROR(('Eficiencias &amp; Configuración'!B$15*C23)*'Eficiencias &amp; Configuración'!B$14,0)</f>
        <v>0</v>
      </c>
      <c r="AU23">
        <f>C23*'Eficiencias &amp; Configuración'!B$16</f>
        <v>0</v>
      </c>
      <c r="AV23">
        <f>C23*'Eficiencias &amp; Configuración'!B$19</f>
        <v>0</v>
      </c>
      <c r="AW23">
        <f>(H23*Enfermedades_Crecimiento)*'Eficiencias &amp; Configuración'!B$18</f>
        <v>0</v>
      </c>
      <c r="AX23">
        <f>(I23+J23)*Enfermedades_Producción*'Eficiencias &amp; Configuración'!B$18</f>
        <v>0</v>
      </c>
      <c r="AY23" s="23">
        <f>W23*'Eficiencias &amp; Configuración'!B$24</f>
        <v>0</v>
      </c>
      <c r="AZ23" s="4">
        <f>(W23/5)*'Eficiencias &amp; Configuración'!B$25</f>
        <v>0</v>
      </c>
      <c r="BA23" s="5">
        <f t="shared" si="39"/>
        <v>0</v>
      </c>
      <c r="BB23" s="4">
        <f t="shared" si="40"/>
        <v>0</v>
      </c>
      <c r="BC23" s="4">
        <f t="shared" si="12"/>
        <v>0</v>
      </c>
      <c r="BD23" s="4">
        <f t="shared" si="41"/>
        <v>0</v>
      </c>
      <c r="BE23" s="5">
        <f t="shared" si="42"/>
        <v>0</v>
      </c>
      <c r="BF23" s="5">
        <f t="shared" si="43"/>
        <v>0</v>
      </c>
      <c r="BG23" s="5" t="e">
        <f t="shared" si="13"/>
        <v>#DIV/0!</v>
      </c>
      <c r="BH23" s="4">
        <f t="shared" si="14"/>
        <v>0</v>
      </c>
      <c r="BI23" s="4" t="e">
        <f t="shared" si="44"/>
        <v>#DIV/0!</v>
      </c>
    </row>
    <row r="24" spans="1:61" x14ac:dyDescent="0.25">
      <c r="A24" t="str">
        <f>Datos!A25</f>
        <v>Lote 21</v>
      </c>
      <c r="B24" s="6">
        <f>Datos!B25</f>
        <v>0</v>
      </c>
      <c r="C24">
        <f>_xlfn.XLOOKUP(UM,Hoja1!A$2:A$7,Hoja1!B$2:B$7)*B24</f>
        <v>0</v>
      </c>
      <c r="D24" s="9">
        <f>IFERROR((Metros2*Datos!B25/(Datos!D25*Datos!C25)),0)</f>
        <v>0</v>
      </c>
      <c r="E24" s="6">
        <f t="shared" si="15"/>
        <v>0</v>
      </c>
      <c r="F24" s="12">
        <f t="shared" si="16"/>
        <v>0</v>
      </c>
      <c r="G24" s="6">
        <f t="shared" si="17"/>
        <v>0</v>
      </c>
      <c r="H24">
        <f t="shared" si="18"/>
        <v>0</v>
      </c>
      <c r="I24">
        <f t="shared" si="19"/>
        <v>0</v>
      </c>
      <c r="J24">
        <f t="shared" si="20"/>
        <v>0</v>
      </c>
      <c r="K24" s="9">
        <f>IF(Ciclo="_3_años",
IF(Datos!F25="Por_Surcos",
IF(Datos!G25&gt;=1,D24/3,0),
IF(Datos!F25="En_Bloque",
IF(Datos!G25=1,D24,0),
0)),0)</f>
        <v>0</v>
      </c>
      <c r="L24" s="17">
        <f>IF(Ciclo="_3_años",
IF(Datos!F25="Por_Surcos",
IF(Datos!G25&gt;=2,D24/3,0),
IF(Datos!F25="En_Bloque",
IF(Datos!G25=2,D24,0),
0)),0)</f>
        <v>0</v>
      </c>
      <c r="M24" s="9">
        <f>IF(Ciclo="_3_años",
IF(Datos!F25="Por_Surcos",
IF(Datos!G25&gt;=3,D24/3,0),
IF(Datos!F25="En_Bloque",
IF(Datos!G25=3,D24,0),
0)),0)</f>
        <v>0</v>
      </c>
      <c r="N24" s="9">
        <f>IF(Ciclo="_4_años",
IF(Datos!F25="Por_Surcos",
IF(Datos!G25&gt;=1,D24/4,0),
IF(Datos!F25="En_Bloque",
IF(Datos!G25=1,D24,0),
0)),0)</f>
        <v>0</v>
      </c>
      <c r="O24" s="9">
        <f>IF(Ciclo="_4_años",
IF(Datos!F25="Por_Surcos",
IF(Datos!G25&gt;=2,D24/4,0),
IF(Datos!F25="En_Bloque",
IF(Datos!G25=2,D24,0),
0)),0)</f>
        <v>0</v>
      </c>
      <c r="P24" s="9">
        <f>IF(Ciclo="_4_años",
IF(Datos!F25="Por_Surcos",
IF(Datos!G25&gt;=3,D24/4,0),
IF(Datos!F25="En_Bloque",
IF(Datos!G25=3,D24,0),
0)),0)</f>
        <v>0</v>
      </c>
      <c r="Q24" s="9">
        <f>IF(Ciclo="_4_años",
IF(Datos!F25="Por_Surcos",
IF(Datos!G25&gt;=4,D24/4,0),
IF(Datos!F25="En_Bloque",
IF(Datos!G25=4,D24,0),
0)),0)</f>
        <v>0</v>
      </c>
      <c r="R24" s="9">
        <f>IF(Ciclo="_5_años",
IF(Datos!F25="Por_Surcos",
IF(Datos!G25&gt;=1,D24/5,0),
IF(Datos!F25="En_Bloque",
IF(Datos!G25=1,D24,0),
0)),0)</f>
        <v>0</v>
      </c>
      <c r="S24" s="9">
        <f>IF(Ciclo="_5_años",
IF(Datos!F25="Por_Surcos",
IF(Datos!G25&gt;=2,D24/5,0),
IF(Datos!F25="En_Bloque",
IF(Datos!G25=2,D24,0),
0)),0)</f>
        <v>0</v>
      </c>
      <c r="T24" s="9">
        <f>IF(Ciclo="_5_años",
IF(Datos!F25="Por_Surcos",
IF(Datos!G25&gt;=3,D24/5,0),
IF(Datos!F25="En_Bloque",
IF(Datos!G25=3,D24,0),
0)),0)</f>
        <v>0</v>
      </c>
      <c r="U24" s="9">
        <f>IF(Ciclo="_5_años",
IF(Datos!F25="Por_Surcos",
IF(Datos!G25&gt;=4,D24/5,0),
IF(Datos!F25="En_Bloque",
IF(Datos!G25=4,D24,0),
0)),0)</f>
        <v>0</v>
      </c>
      <c r="V24" s="9">
        <f>IF(Ciclo="_5_años",
IF(Datos!F25="Por_Surcos",
IF(Datos!G25&gt;=5,D24/5,0),
IF(Datos!F25="En_Bloque",
IF(Datos!G25=5,D24,0),
0)),0)</f>
        <v>0</v>
      </c>
      <c r="W24" s="9">
        <f>(((L24*4.5)+(M24*12)+(O24*0.5)+(P24*4)+(Q24*8.5)+(S24*0.5)+(T24*4)+(U24*8.5)+(V24*6))*Datos!E25)/100</f>
        <v>0</v>
      </c>
      <c r="X24" s="6">
        <f t="shared" si="21"/>
        <v>0</v>
      </c>
      <c r="Y24" s="9">
        <f t="shared" si="4"/>
        <v>0</v>
      </c>
      <c r="Z24" s="9">
        <f t="shared" si="22"/>
        <v>0</v>
      </c>
      <c r="AA24" s="6">
        <f t="shared" si="23"/>
        <v>0</v>
      </c>
      <c r="AB24" s="9">
        <f t="shared" si="24"/>
        <v>0</v>
      </c>
      <c r="AC24" s="6">
        <f t="shared" si="25"/>
        <v>0</v>
      </c>
      <c r="AD24" s="6">
        <f t="shared" si="26"/>
        <v>0</v>
      </c>
      <c r="AE24" s="5">
        <f t="shared" si="27"/>
        <v>0</v>
      </c>
      <c r="AF24" s="5">
        <f>IF(Datos!F25="En_Bloque",0,IF(Datos!F25="Por_Surcos",IF(Datos!G25=1,E24/Plantas_Paliativa_Por_Dia,0),0))</f>
        <v>0</v>
      </c>
      <c r="AG24" s="5">
        <f t="shared" si="28"/>
        <v>0</v>
      </c>
      <c r="AH24" s="5">
        <f t="shared" si="29"/>
        <v>0</v>
      </c>
      <c r="AI24" s="5">
        <f t="shared" si="30"/>
        <v>0</v>
      </c>
      <c r="AJ24" s="5">
        <f t="shared" si="31"/>
        <v>0</v>
      </c>
      <c r="AK24" s="5">
        <f t="shared" si="32"/>
        <v>0</v>
      </c>
      <c r="AL24" s="5">
        <f t="shared" si="33"/>
        <v>0</v>
      </c>
      <c r="AM24" s="5">
        <f t="shared" si="34"/>
        <v>0</v>
      </c>
      <c r="AN24" s="5">
        <f t="shared" si="35"/>
        <v>0</v>
      </c>
      <c r="AO24" s="5">
        <f t="shared" si="36"/>
        <v>0</v>
      </c>
      <c r="AP24" s="5">
        <f t="shared" si="37"/>
        <v>0</v>
      </c>
      <c r="AQ24" s="5">
        <f t="shared" si="38"/>
        <v>0</v>
      </c>
      <c r="AR24" s="5">
        <f t="shared" si="10"/>
        <v>0</v>
      </c>
      <c r="AS24" s="6">
        <f>'Eficiencias &amp; Configuración'!B$12*Cálculos!C24</f>
        <v>0</v>
      </c>
      <c r="AT24" s="6">
        <f>IFERROR(('Eficiencias &amp; Configuración'!B$15*C24)*'Eficiencias &amp; Configuración'!B$14,0)</f>
        <v>0</v>
      </c>
      <c r="AU24">
        <f>C24*'Eficiencias &amp; Configuración'!B$16</f>
        <v>0</v>
      </c>
      <c r="AV24">
        <f>C24*'Eficiencias &amp; Configuración'!B$19</f>
        <v>0</v>
      </c>
      <c r="AW24">
        <f>(H24*Enfermedades_Crecimiento)*'Eficiencias &amp; Configuración'!B$18</f>
        <v>0</v>
      </c>
      <c r="AX24">
        <f>(I24+J24)*Enfermedades_Producción*'Eficiencias &amp; Configuración'!B$18</f>
        <v>0</v>
      </c>
      <c r="AY24" s="23">
        <f>W24*'Eficiencias &amp; Configuración'!B$24</f>
        <v>0</v>
      </c>
      <c r="AZ24" s="4">
        <f>(W24/5)*'Eficiencias &amp; Configuración'!B$25</f>
        <v>0</v>
      </c>
      <c r="BA24" s="5">
        <f t="shared" si="39"/>
        <v>0</v>
      </c>
      <c r="BB24" s="4">
        <f t="shared" si="40"/>
        <v>0</v>
      </c>
      <c r="BC24" s="4">
        <f t="shared" si="12"/>
        <v>0</v>
      </c>
      <c r="BD24" s="4">
        <f t="shared" si="41"/>
        <v>0</v>
      </c>
      <c r="BE24" s="5">
        <f t="shared" si="42"/>
        <v>0</v>
      </c>
      <c r="BF24" s="5">
        <f t="shared" si="43"/>
        <v>0</v>
      </c>
      <c r="BG24" s="5" t="e">
        <f t="shared" si="13"/>
        <v>#DIV/0!</v>
      </c>
      <c r="BH24" s="4">
        <f t="shared" si="14"/>
        <v>0</v>
      </c>
      <c r="BI24" s="4" t="e">
        <f t="shared" si="44"/>
        <v>#DIV/0!</v>
      </c>
    </row>
    <row r="25" spans="1:61" x14ac:dyDescent="0.25">
      <c r="A25" t="str">
        <f>Datos!A26</f>
        <v>Lote 22</v>
      </c>
      <c r="B25" s="6">
        <f>Datos!B26</f>
        <v>0</v>
      </c>
      <c r="C25">
        <f>_xlfn.XLOOKUP(UM,Hoja1!A$2:A$7,Hoja1!B$2:B$7)*B25</f>
        <v>0</v>
      </c>
      <c r="D25" s="9">
        <f>IFERROR((Metros2*Datos!B26/(Datos!D26*Datos!C26)),0)</f>
        <v>0</v>
      </c>
      <c r="E25" s="6">
        <f t="shared" si="15"/>
        <v>0</v>
      </c>
      <c r="F25" s="12">
        <f t="shared" si="16"/>
        <v>0</v>
      </c>
      <c r="G25" s="6">
        <f t="shared" si="17"/>
        <v>0</v>
      </c>
      <c r="H25">
        <f t="shared" si="18"/>
        <v>0</v>
      </c>
      <c r="I25">
        <f t="shared" si="19"/>
        <v>0</v>
      </c>
      <c r="J25">
        <f t="shared" si="20"/>
        <v>0</v>
      </c>
      <c r="K25" s="9">
        <f>IF(Ciclo="_3_años",
IF(Datos!F26="Por_Surcos",
IF(Datos!G26&gt;=1,D25/3,0),
IF(Datos!F26="En_Bloque",
IF(Datos!G26=1,D25,0),
0)),0)</f>
        <v>0</v>
      </c>
      <c r="L25" s="17">
        <f>IF(Ciclo="_3_años",
IF(Datos!F26="Por_Surcos",
IF(Datos!G26&gt;=2,D25/3,0),
IF(Datos!F26="En_Bloque",
IF(Datos!G26=2,D25,0),
0)),0)</f>
        <v>0</v>
      </c>
      <c r="M25" s="9">
        <f>IF(Ciclo="_3_años",
IF(Datos!F26="Por_Surcos",
IF(Datos!G26&gt;=3,D25/3,0),
IF(Datos!F26="En_Bloque",
IF(Datos!G26=3,D25,0),
0)),0)</f>
        <v>0</v>
      </c>
      <c r="N25" s="9">
        <f>IF(Ciclo="_4_años",
IF(Datos!F26="Por_Surcos",
IF(Datos!G26&gt;=1,D25/4,0),
IF(Datos!F26="En_Bloque",
IF(Datos!G26=1,D25,0),
0)),0)</f>
        <v>0</v>
      </c>
      <c r="O25" s="9">
        <f>IF(Ciclo="_4_años",
IF(Datos!F26="Por_Surcos",
IF(Datos!G26&gt;=2,D25/4,0),
IF(Datos!F26="En_Bloque",
IF(Datos!G26=2,D25,0),
0)),0)</f>
        <v>0</v>
      </c>
      <c r="P25" s="9">
        <f>IF(Ciclo="_4_años",
IF(Datos!F26="Por_Surcos",
IF(Datos!G26&gt;=3,D25/4,0),
IF(Datos!F26="En_Bloque",
IF(Datos!G26=3,D25,0),
0)),0)</f>
        <v>0</v>
      </c>
      <c r="Q25" s="9">
        <f>IF(Ciclo="_4_años",
IF(Datos!F26="Por_Surcos",
IF(Datos!G26&gt;=4,D25/4,0),
IF(Datos!F26="En_Bloque",
IF(Datos!G26=4,D25,0),
0)),0)</f>
        <v>0</v>
      </c>
      <c r="R25" s="9">
        <f>IF(Ciclo="_5_años",
IF(Datos!F26="Por_Surcos",
IF(Datos!G26&gt;=1,D25/5,0),
IF(Datos!F26="En_Bloque",
IF(Datos!G26=1,D25,0),
0)),0)</f>
        <v>0</v>
      </c>
      <c r="S25" s="9">
        <f>IF(Ciclo="_5_años",
IF(Datos!F26="Por_Surcos",
IF(Datos!G26&gt;=2,D25/5,0),
IF(Datos!F26="En_Bloque",
IF(Datos!G26=2,D25,0),
0)),0)</f>
        <v>0</v>
      </c>
      <c r="T25" s="9">
        <f>IF(Ciclo="_5_años",
IF(Datos!F26="Por_Surcos",
IF(Datos!G26&gt;=3,D25/5,0),
IF(Datos!F26="En_Bloque",
IF(Datos!G26=3,D25,0),
0)),0)</f>
        <v>0</v>
      </c>
      <c r="U25" s="9">
        <f>IF(Ciclo="_5_años",
IF(Datos!F26="Por_Surcos",
IF(Datos!G26&gt;=4,D25/5,0),
IF(Datos!F26="En_Bloque",
IF(Datos!G26=4,D25,0),
0)),0)</f>
        <v>0</v>
      </c>
      <c r="V25" s="9">
        <f>IF(Ciclo="_5_años",
IF(Datos!F26="Por_Surcos",
IF(Datos!G26&gt;=5,D25/5,0),
IF(Datos!F26="En_Bloque",
IF(Datos!G26=5,D25,0),
0)),0)</f>
        <v>0</v>
      </c>
      <c r="W25" s="9">
        <f>(((L25*4.5)+(M25*12)+(O25*0.5)+(P25*4)+(Q25*8.5)+(S25*0.5)+(T25*4)+(U25*8.5)+(V25*6))*Datos!E26)/100</f>
        <v>0</v>
      </c>
      <c r="X25" s="6">
        <f t="shared" si="21"/>
        <v>0</v>
      </c>
      <c r="Y25" s="9">
        <f t="shared" si="4"/>
        <v>0</v>
      </c>
      <c r="Z25" s="9">
        <f t="shared" si="22"/>
        <v>0</v>
      </c>
      <c r="AA25" s="6">
        <f t="shared" si="23"/>
        <v>0</v>
      </c>
      <c r="AB25" s="9">
        <f t="shared" si="24"/>
        <v>0</v>
      </c>
      <c r="AC25" s="6">
        <f t="shared" si="25"/>
        <v>0</v>
      </c>
      <c r="AD25" s="6">
        <f t="shared" si="26"/>
        <v>0</v>
      </c>
      <c r="AE25" s="5">
        <f t="shared" si="27"/>
        <v>0</v>
      </c>
      <c r="AF25" s="5">
        <f>IF(Datos!F26="En_Bloque",0,IF(Datos!F26="Por_Surcos",IF(Datos!G26=1,E25/Plantas_Paliativa_Por_Dia,0),0))</f>
        <v>0</v>
      </c>
      <c r="AG25" s="5">
        <f t="shared" si="28"/>
        <v>0</v>
      </c>
      <c r="AH25" s="5">
        <f t="shared" si="29"/>
        <v>0</v>
      </c>
      <c r="AI25" s="5">
        <f t="shared" si="30"/>
        <v>0</v>
      </c>
      <c r="AJ25" s="5">
        <f t="shared" si="31"/>
        <v>0</v>
      </c>
      <c r="AK25" s="5">
        <f t="shared" si="32"/>
        <v>0</v>
      </c>
      <c r="AL25" s="5">
        <f t="shared" si="33"/>
        <v>0</v>
      </c>
      <c r="AM25" s="5">
        <f t="shared" si="34"/>
        <v>0</v>
      </c>
      <c r="AN25" s="5">
        <f t="shared" si="35"/>
        <v>0</v>
      </c>
      <c r="AO25" s="5">
        <f t="shared" si="36"/>
        <v>0</v>
      </c>
      <c r="AP25" s="5">
        <f t="shared" si="37"/>
        <v>0</v>
      </c>
      <c r="AQ25" s="5">
        <f t="shared" si="38"/>
        <v>0</v>
      </c>
      <c r="AR25" s="5">
        <f t="shared" si="10"/>
        <v>0</v>
      </c>
      <c r="AS25" s="6">
        <f>'Eficiencias &amp; Configuración'!B$12*Cálculos!C25</f>
        <v>0</v>
      </c>
      <c r="AT25" s="6">
        <f>IFERROR(('Eficiencias &amp; Configuración'!B$15*C25)*'Eficiencias &amp; Configuración'!B$14,0)</f>
        <v>0</v>
      </c>
      <c r="AU25">
        <f>C25*'Eficiencias &amp; Configuración'!B$16</f>
        <v>0</v>
      </c>
      <c r="AV25">
        <f>C25*'Eficiencias &amp; Configuración'!B$19</f>
        <v>0</v>
      </c>
      <c r="AW25">
        <f>(H25*Enfermedades_Crecimiento)*'Eficiencias &amp; Configuración'!B$18</f>
        <v>0</v>
      </c>
      <c r="AX25">
        <f>(I25+J25)*Enfermedades_Producción*'Eficiencias &amp; Configuración'!B$18</f>
        <v>0</v>
      </c>
      <c r="AY25" s="23">
        <f>W25*'Eficiencias &amp; Configuración'!B$24</f>
        <v>0</v>
      </c>
      <c r="AZ25" s="4">
        <f>(W25/5)*'Eficiencias &amp; Configuración'!B$25</f>
        <v>0</v>
      </c>
      <c r="BA25" s="5">
        <f t="shared" si="39"/>
        <v>0</v>
      </c>
      <c r="BB25" s="4">
        <f t="shared" si="40"/>
        <v>0</v>
      </c>
      <c r="BC25" s="4">
        <f t="shared" si="12"/>
        <v>0</v>
      </c>
      <c r="BD25" s="4">
        <f t="shared" si="41"/>
        <v>0</v>
      </c>
      <c r="BE25" s="5">
        <f t="shared" si="42"/>
        <v>0</v>
      </c>
      <c r="BF25" s="5">
        <f t="shared" si="43"/>
        <v>0</v>
      </c>
      <c r="BG25" s="5" t="e">
        <f t="shared" si="13"/>
        <v>#DIV/0!</v>
      </c>
      <c r="BH25" s="4">
        <f t="shared" si="14"/>
        <v>0</v>
      </c>
      <c r="BI25" s="4" t="e">
        <f t="shared" si="44"/>
        <v>#DIV/0!</v>
      </c>
    </row>
    <row r="26" spans="1:61" x14ac:dyDescent="0.25">
      <c r="A26" t="str">
        <f>Datos!A27</f>
        <v>Lote 23</v>
      </c>
      <c r="B26" s="6">
        <f>Datos!B27</f>
        <v>0</v>
      </c>
      <c r="C26">
        <f>_xlfn.XLOOKUP(UM,Hoja1!A$2:A$7,Hoja1!B$2:B$7)*B26</f>
        <v>0</v>
      </c>
      <c r="D26" s="9">
        <f>IFERROR((Metros2*Datos!B27/(Datos!D27*Datos!C27)),0)</f>
        <v>0</v>
      </c>
      <c r="E26" s="6">
        <f t="shared" si="15"/>
        <v>0</v>
      </c>
      <c r="F26" s="12">
        <f t="shared" si="16"/>
        <v>0</v>
      </c>
      <c r="G26" s="6">
        <f t="shared" si="17"/>
        <v>0</v>
      </c>
      <c r="H26">
        <f t="shared" si="18"/>
        <v>0</v>
      </c>
      <c r="I26">
        <f t="shared" si="19"/>
        <v>0</v>
      </c>
      <c r="J26">
        <f t="shared" si="20"/>
        <v>0</v>
      </c>
      <c r="K26" s="9">
        <f>IF(Ciclo="_3_años",
IF(Datos!F27="Por_Surcos",
IF(Datos!G27&gt;=1,D26/3,0),
IF(Datos!F27="En_Bloque",
IF(Datos!G27=1,D26,0),
0)),0)</f>
        <v>0</v>
      </c>
      <c r="L26" s="17">
        <f>IF(Ciclo="_3_años",
IF(Datos!F27="Por_Surcos",
IF(Datos!G27&gt;=2,D26/3,0),
IF(Datos!F27="En_Bloque",
IF(Datos!G27=2,D26,0),
0)),0)</f>
        <v>0</v>
      </c>
      <c r="M26" s="9">
        <f>IF(Ciclo="_3_años",
IF(Datos!F27="Por_Surcos",
IF(Datos!G27&gt;=3,D26/3,0),
IF(Datos!F27="En_Bloque",
IF(Datos!G27=3,D26,0),
0)),0)</f>
        <v>0</v>
      </c>
      <c r="N26" s="9">
        <f>IF(Ciclo="_4_años",
IF(Datos!F27="Por_Surcos",
IF(Datos!G27&gt;=1,D26/4,0),
IF(Datos!F27="En_Bloque",
IF(Datos!G27=1,D26,0),
0)),0)</f>
        <v>0</v>
      </c>
      <c r="O26" s="9">
        <f>IF(Ciclo="_4_años",
IF(Datos!F27="Por_Surcos",
IF(Datos!G27&gt;=2,D26/4,0),
IF(Datos!F27="En_Bloque",
IF(Datos!G27=2,D26,0),
0)),0)</f>
        <v>0</v>
      </c>
      <c r="P26" s="9">
        <f>IF(Ciclo="_4_años",
IF(Datos!F27="Por_Surcos",
IF(Datos!G27&gt;=3,D26/4,0),
IF(Datos!F27="En_Bloque",
IF(Datos!G27=3,D26,0),
0)),0)</f>
        <v>0</v>
      </c>
      <c r="Q26" s="9">
        <f>IF(Ciclo="_4_años",
IF(Datos!F27="Por_Surcos",
IF(Datos!G27&gt;=4,D26/4,0),
IF(Datos!F27="En_Bloque",
IF(Datos!G27=4,D26,0),
0)),0)</f>
        <v>0</v>
      </c>
      <c r="R26" s="9">
        <f>IF(Ciclo="_5_años",
IF(Datos!F27="Por_Surcos",
IF(Datos!G27&gt;=1,D26/5,0),
IF(Datos!F27="En_Bloque",
IF(Datos!G27=1,D26,0),
0)),0)</f>
        <v>0</v>
      </c>
      <c r="S26" s="9">
        <f>IF(Ciclo="_5_años",
IF(Datos!F27="Por_Surcos",
IF(Datos!G27&gt;=2,D26/5,0),
IF(Datos!F27="En_Bloque",
IF(Datos!G27=2,D26,0),
0)),0)</f>
        <v>0</v>
      </c>
      <c r="T26" s="9">
        <f>IF(Ciclo="_5_años",
IF(Datos!F27="Por_Surcos",
IF(Datos!G27&gt;=3,D26/5,0),
IF(Datos!F27="En_Bloque",
IF(Datos!G27=3,D26,0),
0)),0)</f>
        <v>0</v>
      </c>
      <c r="U26" s="9">
        <f>IF(Ciclo="_5_años",
IF(Datos!F27="Por_Surcos",
IF(Datos!G27&gt;=4,D26/5,0),
IF(Datos!F27="En_Bloque",
IF(Datos!G27=4,D26,0),
0)),0)</f>
        <v>0</v>
      </c>
      <c r="V26" s="9">
        <f>IF(Ciclo="_5_años",
IF(Datos!F27="Por_Surcos",
IF(Datos!G27&gt;=5,D26/5,0),
IF(Datos!F27="En_Bloque",
IF(Datos!G27=5,D26,0),
0)),0)</f>
        <v>0</v>
      </c>
      <c r="W26" s="9">
        <f>(((L26*4.5)+(M26*12)+(O26*0.5)+(P26*4)+(Q26*8.5)+(S26*0.5)+(T26*4)+(U26*8.5)+(V26*6))*Datos!E27)/100</f>
        <v>0</v>
      </c>
      <c r="X26" s="6">
        <f t="shared" si="21"/>
        <v>0</v>
      </c>
      <c r="Y26" s="9">
        <f t="shared" si="4"/>
        <v>0</v>
      </c>
      <c r="Z26" s="9">
        <f t="shared" si="22"/>
        <v>0</v>
      </c>
      <c r="AA26" s="6">
        <f t="shared" si="23"/>
        <v>0</v>
      </c>
      <c r="AB26" s="9">
        <f t="shared" si="24"/>
        <v>0</v>
      </c>
      <c r="AC26" s="6">
        <f t="shared" si="25"/>
        <v>0</v>
      </c>
      <c r="AD26" s="6">
        <f t="shared" si="26"/>
        <v>0</v>
      </c>
      <c r="AE26" s="5">
        <f t="shared" si="27"/>
        <v>0</v>
      </c>
      <c r="AF26" s="5">
        <f>IF(Datos!F27="En_Bloque",0,IF(Datos!F27="Por_Surcos",IF(Datos!G27=1,E26/Plantas_Paliativa_Por_Dia,0),0))</f>
        <v>0</v>
      </c>
      <c r="AG26" s="5">
        <f t="shared" si="28"/>
        <v>0</v>
      </c>
      <c r="AH26" s="5">
        <f t="shared" si="29"/>
        <v>0</v>
      </c>
      <c r="AI26" s="5">
        <f t="shared" si="30"/>
        <v>0</v>
      </c>
      <c r="AJ26" s="5">
        <f t="shared" si="31"/>
        <v>0</v>
      </c>
      <c r="AK26" s="5">
        <f t="shared" si="32"/>
        <v>0</v>
      </c>
      <c r="AL26" s="5">
        <f t="shared" si="33"/>
        <v>0</v>
      </c>
      <c r="AM26" s="5">
        <f t="shared" si="34"/>
        <v>0</v>
      </c>
      <c r="AN26" s="5">
        <f t="shared" si="35"/>
        <v>0</v>
      </c>
      <c r="AO26" s="5">
        <f t="shared" si="36"/>
        <v>0</v>
      </c>
      <c r="AP26" s="5">
        <f t="shared" si="37"/>
        <v>0</v>
      </c>
      <c r="AQ26" s="5">
        <f t="shared" si="38"/>
        <v>0</v>
      </c>
      <c r="AR26" s="5">
        <f t="shared" si="10"/>
        <v>0</v>
      </c>
      <c r="AS26" s="6">
        <f>'Eficiencias &amp; Configuración'!B$12*Cálculos!C26</f>
        <v>0</v>
      </c>
      <c r="AT26" s="6">
        <f>IFERROR(('Eficiencias &amp; Configuración'!B$15*C26)*'Eficiencias &amp; Configuración'!B$14,0)</f>
        <v>0</v>
      </c>
      <c r="AU26">
        <f>C26*'Eficiencias &amp; Configuración'!B$16</f>
        <v>0</v>
      </c>
      <c r="AV26">
        <f>C26*'Eficiencias &amp; Configuración'!B$19</f>
        <v>0</v>
      </c>
      <c r="AW26">
        <f>(H26*Enfermedades_Crecimiento)*'Eficiencias &amp; Configuración'!B$18</f>
        <v>0</v>
      </c>
      <c r="AX26">
        <f>(I26+J26)*Enfermedades_Producción*'Eficiencias &amp; Configuración'!B$18</f>
        <v>0</v>
      </c>
      <c r="AY26" s="23">
        <f>W26*'Eficiencias &amp; Configuración'!B$24</f>
        <v>0</v>
      </c>
      <c r="AZ26" s="4">
        <f>(W26/5)*'Eficiencias &amp; Configuración'!B$25</f>
        <v>0</v>
      </c>
      <c r="BA26" s="5">
        <f t="shared" si="39"/>
        <v>0</v>
      </c>
      <c r="BB26" s="4">
        <f t="shared" si="40"/>
        <v>0</v>
      </c>
      <c r="BC26" s="4">
        <f t="shared" si="12"/>
        <v>0</v>
      </c>
      <c r="BD26" s="4">
        <f t="shared" si="41"/>
        <v>0</v>
      </c>
      <c r="BE26" s="5">
        <f t="shared" si="42"/>
        <v>0</v>
      </c>
      <c r="BF26" s="5">
        <f t="shared" si="43"/>
        <v>0</v>
      </c>
      <c r="BG26" s="5" t="e">
        <f t="shared" si="13"/>
        <v>#DIV/0!</v>
      </c>
      <c r="BH26" s="4">
        <f t="shared" si="14"/>
        <v>0</v>
      </c>
      <c r="BI26" s="4" t="e">
        <f t="shared" si="44"/>
        <v>#DIV/0!</v>
      </c>
    </row>
    <row r="27" spans="1:61" x14ac:dyDescent="0.25">
      <c r="A27" t="str">
        <f>Datos!A28</f>
        <v>Lote 24</v>
      </c>
      <c r="B27" s="6">
        <f>Datos!B28</f>
        <v>0</v>
      </c>
      <c r="C27">
        <f>_xlfn.XLOOKUP(UM,Hoja1!A$2:A$7,Hoja1!B$2:B$7)*B27</f>
        <v>0</v>
      </c>
      <c r="D27" s="9">
        <f>IFERROR((Metros2*Datos!B28/(Datos!D28*Datos!C28)),0)</f>
        <v>0</v>
      </c>
      <c r="E27" s="6">
        <f t="shared" si="15"/>
        <v>0</v>
      </c>
      <c r="F27" s="12">
        <f t="shared" si="16"/>
        <v>0</v>
      </c>
      <c r="G27" s="6">
        <f t="shared" si="17"/>
        <v>0</v>
      </c>
      <c r="H27">
        <f t="shared" si="18"/>
        <v>0</v>
      </c>
      <c r="I27">
        <f t="shared" si="19"/>
        <v>0</v>
      </c>
      <c r="J27">
        <f t="shared" si="20"/>
        <v>0</v>
      </c>
      <c r="K27" s="9">
        <f>IF(Ciclo="_3_años",
IF(Datos!F28="Por_Surcos",
IF(Datos!G28&gt;=1,D27/3,0),
IF(Datos!F28="En_Bloque",
IF(Datos!G28=1,D27,0),
0)),0)</f>
        <v>0</v>
      </c>
      <c r="L27" s="17">
        <f>IF(Ciclo="_3_años",
IF(Datos!F28="Por_Surcos",
IF(Datos!G28&gt;=2,D27/3,0),
IF(Datos!F28="En_Bloque",
IF(Datos!G28=2,D27,0),
0)),0)</f>
        <v>0</v>
      </c>
      <c r="M27" s="9">
        <f>IF(Ciclo="_3_años",
IF(Datos!F28="Por_Surcos",
IF(Datos!G28&gt;=3,D27/3,0),
IF(Datos!F28="En_Bloque",
IF(Datos!G28=3,D27,0),
0)),0)</f>
        <v>0</v>
      </c>
      <c r="N27" s="9">
        <f>IF(Ciclo="_4_años",
IF(Datos!F28="Por_Surcos",
IF(Datos!G28&gt;=1,D27/4,0),
IF(Datos!F28="En_Bloque",
IF(Datos!G28=1,D27,0),
0)),0)</f>
        <v>0</v>
      </c>
      <c r="O27" s="9">
        <f>IF(Ciclo="_4_años",
IF(Datos!F28="Por_Surcos",
IF(Datos!G28&gt;=2,D27/4,0),
IF(Datos!F28="En_Bloque",
IF(Datos!G28=2,D27,0),
0)),0)</f>
        <v>0</v>
      </c>
      <c r="P27" s="9">
        <f>IF(Ciclo="_4_años",
IF(Datos!F28="Por_Surcos",
IF(Datos!G28&gt;=3,D27/4,0),
IF(Datos!F28="En_Bloque",
IF(Datos!G28=3,D27,0),
0)),0)</f>
        <v>0</v>
      </c>
      <c r="Q27" s="9">
        <f>IF(Ciclo="_4_años",
IF(Datos!F28="Por_Surcos",
IF(Datos!G28&gt;=4,D27/4,0),
IF(Datos!F28="En_Bloque",
IF(Datos!G28=4,D27,0),
0)),0)</f>
        <v>0</v>
      </c>
      <c r="R27" s="9">
        <f>IF(Ciclo="_5_años",
IF(Datos!F28="Por_Surcos",
IF(Datos!G28&gt;=1,D27/5,0),
IF(Datos!F28="En_Bloque",
IF(Datos!G28=1,D27,0),
0)),0)</f>
        <v>0</v>
      </c>
      <c r="S27" s="9">
        <f>IF(Ciclo="_5_años",
IF(Datos!F28="Por_Surcos",
IF(Datos!G28&gt;=2,D27/5,0),
IF(Datos!F28="En_Bloque",
IF(Datos!G28=2,D27,0),
0)),0)</f>
        <v>0</v>
      </c>
      <c r="T27" s="9">
        <f>IF(Ciclo="_5_años",
IF(Datos!F28="Por_Surcos",
IF(Datos!G28&gt;=3,D27/5,0),
IF(Datos!F28="En_Bloque",
IF(Datos!G28=3,D27,0),
0)),0)</f>
        <v>0</v>
      </c>
      <c r="U27" s="9">
        <f>IF(Ciclo="_5_años",
IF(Datos!F28="Por_Surcos",
IF(Datos!G28&gt;=4,D27/5,0),
IF(Datos!F28="En_Bloque",
IF(Datos!G28=4,D27,0),
0)),0)</f>
        <v>0</v>
      </c>
      <c r="V27" s="9">
        <f>IF(Ciclo="_5_años",
IF(Datos!F28="Por_Surcos",
IF(Datos!G28&gt;=5,D27/5,0),
IF(Datos!F28="En_Bloque",
IF(Datos!G28=5,D27,0),
0)),0)</f>
        <v>0</v>
      </c>
      <c r="W27" s="9">
        <f>(((L27*4.5)+(M27*12)+(O27*0.5)+(P27*4)+(Q27*8.5)+(S27*0.5)+(T27*4)+(U27*8.5)+(V27*6))*Datos!E28)/100</f>
        <v>0</v>
      </c>
      <c r="X27" s="6">
        <f t="shared" si="21"/>
        <v>0</v>
      </c>
      <c r="Y27" s="9">
        <f t="shared" si="4"/>
        <v>0</v>
      </c>
      <c r="Z27" s="9">
        <f t="shared" si="22"/>
        <v>0</v>
      </c>
      <c r="AA27" s="6">
        <f t="shared" si="23"/>
        <v>0</v>
      </c>
      <c r="AB27" s="9">
        <f t="shared" si="24"/>
        <v>0</v>
      </c>
      <c r="AC27" s="6">
        <f t="shared" si="25"/>
        <v>0</v>
      </c>
      <c r="AD27" s="6">
        <f t="shared" si="26"/>
        <v>0</v>
      </c>
      <c r="AE27" s="5">
        <f t="shared" si="27"/>
        <v>0</v>
      </c>
      <c r="AF27" s="5">
        <f>IF(Datos!F28="En_Bloque",0,IF(Datos!F28="Por_Surcos",IF(Datos!G28=1,E27/Plantas_Paliativa_Por_Dia,0),0))</f>
        <v>0</v>
      </c>
      <c r="AG27" s="5">
        <f t="shared" si="28"/>
        <v>0</v>
      </c>
      <c r="AH27" s="5">
        <f t="shared" si="29"/>
        <v>0</v>
      </c>
      <c r="AI27" s="5">
        <f t="shared" si="30"/>
        <v>0</v>
      </c>
      <c r="AJ27" s="5">
        <f t="shared" si="31"/>
        <v>0</v>
      </c>
      <c r="AK27" s="5">
        <f t="shared" si="32"/>
        <v>0</v>
      </c>
      <c r="AL27" s="5">
        <f t="shared" si="33"/>
        <v>0</v>
      </c>
      <c r="AM27" s="5">
        <f t="shared" si="34"/>
        <v>0</v>
      </c>
      <c r="AN27" s="5">
        <f t="shared" si="35"/>
        <v>0</v>
      </c>
      <c r="AO27" s="5">
        <f t="shared" si="36"/>
        <v>0</v>
      </c>
      <c r="AP27" s="5">
        <f t="shared" si="37"/>
        <v>0</v>
      </c>
      <c r="AQ27" s="5">
        <f t="shared" si="38"/>
        <v>0</v>
      </c>
      <c r="AR27" s="5">
        <f t="shared" si="10"/>
        <v>0</v>
      </c>
      <c r="AS27" s="6">
        <f>'Eficiencias &amp; Configuración'!B$12*Cálculos!C27</f>
        <v>0</v>
      </c>
      <c r="AT27" s="6">
        <f>IFERROR(('Eficiencias &amp; Configuración'!B$15*C27)*'Eficiencias &amp; Configuración'!B$14,0)</f>
        <v>0</v>
      </c>
      <c r="AU27">
        <f>C27*'Eficiencias &amp; Configuración'!B$16</f>
        <v>0</v>
      </c>
      <c r="AV27">
        <f>C27*'Eficiencias &amp; Configuración'!B$19</f>
        <v>0</v>
      </c>
      <c r="AW27">
        <f>(H27*Enfermedades_Crecimiento)*'Eficiencias &amp; Configuración'!B$18</f>
        <v>0</v>
      </c>
      <c r="AX27">
        <f>(I27+J27)*Enfermedades_Producción*'Eficiencias &amp; Configuración'!B$18</f>
        <v>0</v>
      </c>
      <c r="AY27" s="23">
        <f>W27*'Eficiencias &amp; Configuración'!B$24</f>
        <v>0</v>
      </c>
      <c r="AZ27" s="4">
        <f>(W27/5)*'Eficiencias &amp; Configuración'!B$25</f>
        <v>0</v>
      </c>
      <c r="BA27" s="5">
        <f t="shared" si="39"/>
        <v>0</v>
      </c>
      <c r="BB27" s="4">
        <f t="shared" si="40"/>
        <v>0</v>
      </c>
      <c r="BC27" s="4">
        <f t="shared" si="12"/>
        <v>0</v>
      </c>
      <c r="BD27" s="4">
        <f t="shared" si="41"/>
        <v>0</v>
      </c>
      <c r="BE27" s="5">
        <f t="shared" si="42"/>
        <v>0</v>
      </c>
      <c r="BF27" s="5">
        <f t="shared" si="43"/>
        <v>0</v>
      </c>
      <c r="BG27" s="5" t="e">
        <f t="shared" si="13"/>
        <v>#DIV/0!</v>
      </c>
      <c r="BH27" s="4">
        <f t="shared" si="14"/>
        <v>0</v>
      </c>
      <c r="BI27" s="4" t="e">
        <f t="shared" si="44"/>
        <v>#DIV/0!</v>
      </c>
    </row>
    <row r="28" spans="1:61" x14ac:dyDescent="0.25">
      <c r="A28" t="str">
        <f>Datos!A29</f>
        <v>Lote 25</v>
      </c>
      <c r="B28" s="6">
        <f>Datos!B29</f>
        <v>0</v>
      </c>
      <c r="C28">
        <f>_xlfn.XLOOKUP(UM,Hoja1!A$2:A$7,Hoja1!B$2:B$7)*B28</f>
        <v>0</v>
      </c>
      <c r="D28" s="9">
        <f>IFERROR((Metros2*Datos!B29/(Datos!D29*Datos!C29)),0)</f>
        <v>0</v>
      </c>
      <c r="E28" s="6">
        <f t="shared" si="15"/>
        <v>0</v>
      </c>
      <c r="F28" s="12">
        <f t="shared" si="16"/>
        <v>0</v>
      </c>
      <c r="G28" s="6">
        <f t="shared" si="17"/>
        <v>0</v>
      </c>
      <c r="H28">
        <f t="shared" si="18"/>
        <v>0</v>
      </c>
      <c r="I28">
        <f t="shared" si="19"/>
        <v>0</v>
      </c>
      <c r="J28">
        <f t="shared" si="20"/>
        <v>0</v>
      </c>
      <c r="K28" s="9">
        <f>IF(Ciclo="_3_años",
IF(Datos!F29="Por_Surcos",
IF(Datos!G29&gt;=1,D28/3,0),
IF(Datos!F29="En_Bloque",
IF(Datos!G29=1,D28,0),
0)),0)</f>
        <v>0</v>
      </c>
      <c r="L28" s="17">
        <f>IF(Ciclo="_3_años",
IF(Datos!F29="Por_Surcos",
IF(Datos!G29&gt;=2,D28/3,0),
IF(Datos!F29="En_Bloque",
IF(Datos!G29=2,D28,0),
0)),0)</f>
        <v>0</v>
      </c>
      <c r="M28" s="9">
        <f>IF(Ciclo="_3_años",
IF(Datos!F29="Por_Surcos",
IF(Datos!G29&gt;=3,D28/3,0),
IF(Datos!F29="En_Bloque",
IF(Datos!G29=3,D28,0),
0)),0)</f>
        <v>0</v>
      </c>
      <c r="N28" s="9">
        <f>IF(Ciclo="_4_años",
IF(Datos!F29="Por_Surcos",
IF(Datos!G29&gt;=1,D28/4,0),
IF(Datos!F29="En_Bloque",
IF(Datos!G29=1,D28,0),
0)),0)</f>
        <v>0</v>
      </c>
      <c r="O28" s="9">
        <f>IF(Ciclo="_4_años",
IF(Datos!F29="Por_Surcos",
IF(Datos!G29&gt;=2,D28/4,0),
IF(Datos!F29="En_Bloque",
IF(Datos!G29=2,D28,0),
0)),0)</f>
        <v>0</v>
      </c>
      <c r="P28" s="9">
        <f>IF(Ciclo="_4_años",
IF(Datos!F29="Por_Surcos",
IF(Datos!G29&gt;=3,D28/4,0),
IF(Datos!F29="En_Bloque",
IF(Datos!G29=3,D28,0),
0)),0)</f>
        <v>0</v>
      </c>
      <c r="Q28" s="9">
        <f>IF(Ciclo="_4_años",
IF(Datos!F29="Por_Surcos",
IF(Datos!G29&gt;=4,D28/4,0),
IF(Datos!F29="En_Bloque",
IF(Datos!G29=4,D28,0),
0)),0)</f>
        <v>0</v>
      </c>
      <c r="R28" s="9">
        <f>IF(Ciclo="_5_años",
IF(Datos!F29="Por_Surcos",
IF(Datos!G29&gt;=1,D28/5,0),
IF(Datos!F29="En_Bloque",
IF(Datos!G29=1,D28,0),
0)),0)</f>
        <v>0</v>
      </c>
      <c r="S28" s="9">
        <f>IF(Ciclo="_5_años",
IF(Datos!F29="Por_Surcos",
IF(Datos!G29&gt;=2,D28/5,0),
IF(Datos!F29="En_Bloque",
IF(Datos!G29=2,D28,0),
0)),0)</f>
        <v>0</v>
      </c>
      <c r="T28" s="9">
        <f>IF(Ciclo="_5_años",
IF(Datos!F29="Por_Surcos",
IF(Datos!G29&gt;=3,D28/5,0),
IF(Datos!F29="En_Bloque",
IF(Datos!G29=3,D28,0),
0)),0)</f>
        <v>0</v>
      </c>
      <c r="U28" s="9">
        <f>IF(Ciclo="_5_años",
IF(Datos!F29="Por_Surcos",
IF(Datos!G29&gt;=4,D28/5,0),
IF(Datos!F29="En_Bloque",
IF(Datos!G29=4,D28,0),
0)),0)</f>
        <v>0</v>
      </c>
      <c r="V28" s="9">
        <f>IF(Ciclo="_5_años",
IF(Datos!F29="Por_Surcos",
IF(Datos!G29&gt;=5,D28/5,0),
IF(Datos!F29="En_Bloque",
IF(Datos!G29=5,D28,0),
0)),0)</f>
        <v>0</v>
      </c>
      <c r="W28" s="9">
        <f>(((L28*4.5)+(M28*12)+(O28*0.5)+(P28*4)+(Q28*8.5)+(S28*0.5)+(T28*4)+(U28*8.5)+(V28*6))*Datos!E29)/100</f>
        <v>0</v>
      </c>
      <c r="X28" s="6">
        <f t="shared" si="21"/>
        <v>0</v>
      </c>
      <c r="Y28" s="9">
        <f t="shared" si="4"/>
        <v>0</v>
      </c>
      <c r="Z28" s="9">
        <f t="shared" si="22"/>
        <v>0</v>
      </c>
      <c r="AA28" s="6">
        <f t="shared" si="23"/>
        <v>0</v>
      </c>
      <c r="AB28" s="9">
        <f t="shared" si="24"/>
        <v>0</v>
      </c>
      <c r="AC28" s="6">
        <f t="shared" si="25"/>
        <v>0</v>
      </c>
      <c r="AD28" s="6">
        <f t="shared" si="26"/>
        <v>0</v>
      </c>
      <c r="AE28" s="5">
        <f t="shared" si="27"/>
        <v>0</v>
      </c>
      <c r="AF28" s="5">
        <f>IF(Datos!F29="En_Bloque",0,IF(Datos!F29="Por_Surcos",IF(Datos!G29=1,E28/Plantas_Paliativa_Por_Dia,0),0))</f>
        <v>0</v>
      </c>
      <c r="AG28" s="5">
        <f t="shared" si="28"/>
        <v>0</v>
      </c>
      <c r="AH28" s="5">
        <f t="shared" si="29"/>
        <v>0</v>
      </c>
      <c r="AI28" s="5">
        <f t="shared" si="30"/>
        <v>0</v>
      </c>
      <c r="AJ28" s="5">
        <f t="shared" si="31"/>
        <v>0</v>
      </c>
      <c r="AK28" s="5">
        <f t="shared" si="32"/>
        <v>0</v>
      </c>
      <c r="AL28" s="5">
        <f t="shared" si="33"/>
        <v>0</v>
      </c>
      <c r="AM28" s="5">
        <f t="shared" si="34"/>
        <v>0</v>
      </c>
      <c r="AN28" s="5">
        <f t="shared" si="35"/>
        <v>0</v>
      </c>
      <c r="AO28" s="5">
        <f t="shared" si="36"/>
        <v>0</v>
      </c>
      <c r="AP28" s="5">
        <f t="shared" si="37"/>
        <v>0</v>
      </c>
      <c r="AQ28" s="5">
        <f t="shared" si="38"/>
        <v>0</v>
      </c>
      <c r="AR28" s="5">
        <f t="shared" si="10"/>
        <v>0</v>
      </c>
      <c r="AS28" s="6">
        <f>'Eficiencias &amp; Configuración'!B$12*Cálculos!C28</f>
        <v>0</v>
      </c>
      <c r="AT28" s="6">
        <f>IFERROR(('Eficiencias &amp; Configuración'!B$15*C28)*'Eficiencias &amp; Configuración'!B$14,0)</f>
        <v>0</v>
      </c>
      <c r="AU28">
        <f>C28*'Eficiencias &amp; Configuración'!B$16</f>
        <v>0</v>
      </c>
      <c r="AV28">
        <f>C28*'Eficiencias &amp; Configuración'!B$19</f>
        <v>0</v>
      </c>
      <c r="AW28">
        <f>(H28*Enfermedades_Crecimiento)*'Eficiencias &amp; Configuración'!B$18</f>
        <v>0</v>
      </c>
      <c r="AX28">
        <f>(I28+J28)*Enfermedades_Producción*'Eficiencias &amp; Configuración'!B$18</f>
        <v>0</v>
      </c>
      <c r="AY28" s="23">
        <f>W28*'Eficiencias &amp; Configuración'!B$24</f>
        <v>0</v>
      </c>
      <c r="AZ28" s="4">
        <f>(W28/5)*'Eficiencias &amp; Configuración'!B$25</f>
        <v>0</v>
      </c>
      <c r="BA28" s="5">
        <f t="shared" si="39"/>
        <v>0</v>
      </c>
      <c r="BB28" s="4">
        <f t="shared" si="40"/>
        <v>0</v>
      </c>
      <c r="BC28" s="4">
        <f t="shared" si="12"/>
        <v>0</v>
      </c>
      <c r="BD28" s="4">
        <f t="shared" si="41"/>
        <v>0</v>
      </c>
      <c r="BE28" s="5">
        <f t="shared" si="42"/>
        <v>0</v>
      </c>
      <c r="BF28" s="5">
        <f t="shared" si="43"/>
        <v>0</v>
      </c>
      <c r="BG28" s="5" t="e">
        <f t="shared" si="13"/>
        <v>#DIV/0!</v>
      </c>
      <c r="BH28" s="4">
        <f t="shared" si="14"/>
        <v>0</v>
      </c>
      <c r="BI28" s="4" t="e">
        <f t="shared" si="44"/>
        <v>#DIV/0!</v>
      </c>
    </row>
    <row r="29" spans="1:61" x14ac:dyDescent="0.25">
      <c r="A29" t="str">
        <f>Datos!A30</f>
        <v>Lote 26</v>
      </c>
      <c r="B29" s="6">
        <f>Datos!B30</f>
        <v>0</v>
      </c>
      <c r="C29">
        <f>_xlfn.XLOOKUP(UM,Hoja1!A$2:A$7,Hoja1!B$2:B$7)*B29</f>
        <v>0</v>
      </c>
      <c r="D29" s="9">
        <f>IFERROR((Metros2*Datos!B30/(Datos!D30*Datos!C30)),0)</f>
        <v>0</v>
      </c>
      <c r="E29" s="6">
        <f t="shared" si="15"/>
        <v>0</v>
      </c>
      <c r="F29" s="12">
        <f t="shared" si="16"/>
        <v>0</v>
      </c>
      <c r="G29" s="6">
        <f t="shared" si="17"/>
        <v>0</v>
      </c>
      <c r="H29">
        <f t="shared" si="18"/>
        <v>0</v>
      </c>
      <c r="I29">
        <f t="shared" si="19"/>
        <v>0</v>
      </c>
      <c r="J29">
        <f t="shared" si="20"/>
        <v>0</v>
      </c>
      <c r="K29" s="9">
        <f>IF(Ciclo="_3_años",
IF(Datos!F30="Por_Surcos",
IF(Datos!G30&gt;=1,D29/3,0),
IF(Datos!F30="En_Bloque",
IF(Datos!G30=1,D29,0),
0)),0)</f>
        <v>0</v>
      </c>
      <c r="L29" s="17">
        <f>IF(Ciclo="_3_años",
IF(Datos!F30="Por_Surcos",
IF(Datos!G30&gt;=2,D29/3,0),
IF(Datos!F30="En_Bloque",
IF(Datos!G30=2,D29,0),
0)),0)</f>
        <v>0</v>
      </c>
      <c r="M29" s="9">
        <f>IF(Ciclo="_3_años",
IF(Datos!F30="Por_Surcos",
IF(Datos!G30&gt;=3,D29/3,0),
IF(Datos!F30="En_Bloque",
IF(Datos!G30=3,D29,0),
0)),0)</f>
        <v>0</v>
      </c>
      <c r="N29" s="9">
        <f>IF(Ciclo="_4_años",
IF(Datos!F30="Por_Surcos",
IF(Datos!G30&gt;=1,D29/4,0),
IF(Datos!F30="En_Bloque",
IF(Datos!G30=1,D29,0),
0)),0)</f>
        <v>0</v>
      </c>
      <c r="O29" s="9">
        <f>IF(Ciclo="_4_años",
IF(Datos!F30="Por_Surcos",
IF(Datos!G30&gt;=2,D29/4,0),
IF(Datos!F30="En_Bloque",
IF(Datos!G30=2,D29,0),
0)),0)</f>
        <v>0</v>
      </c>
      <c r="P29" s="9">
        <f>IF(Ciclo="_4_años",
IF(Datos!F30="Por_Surcos",
IF(Datos!G30&gt;=3,D29/4,0),
IF(Datos!F30="En_Bloque",
IF(Datos!G30=3,D29,0),
0)),0)</f>
        <v>0</v>
      </c>
      <c r="Q29" s="9">
        <f>IF(Ciclo="_4_años",
IF(Datos!F30="Por_Surcos",
IF(Datos!G30&gt;=4,D29/4,0),
IF(Datos!F30="En_Bloque",
IF(Datos!G30=4,D29,0),
0)),0)</f>
        <v>0</v>
      </c>
      <c r="R29" s="9">
        <f>IF(Ciclo="_5_años",
IF(Datos!F30="Por_Surcos",
IF(Datos!G30&gt;=1,D29/5,0),
IF(Datos!F30="En_Bloque",
IF(Datos!G30=1,D29,0),
0)),0)</f>
        <v>0</v>
      </c>
      <c r="S29" s="9">
        <f>IF(Ciclo="_5_años",
IF(Datos!F30="Por_Surcos",
IF(Datos!G30&gt;=2,D29/5,0),
IF(Datos!F30="En_Bloque",
IF(Datos!G30=2,D29,0),
0)),0)</f>
        <v>0</v>
      </c>
      <c r="T29" s="9">
        <f>IF(Ciclo="_5_años",
IF(Datos!F30="Por_Surcos",
IF(Datos!G30&gt;=3,D29/5,0),
IF(Datos!F30="En_Bloque",
IF(Datos!G30=3,D29,0),
0)),0)</f>
        <v>0</v>
      </c>
      <c r="U29" s="9">
        <f>IF(Ciclo="_5_años",
IF(Datos!F30="Por_Surcos",
IF(Datos!G30&gt;=4,D29/5,0),
IF(Datos!F30="En_Bloque",
IF(Datos!G30=4,D29,0),
0)),0)</f>
        <v>0</v>
      </c>
      <c r="V29" s="9">
        <f>IF(Ciclo="_5_años",
IF(Datos!F30="Por_Surcos",
IF(Datos!G30&gt;=5,D29/5,0),
IF(Datos!F30="En_Bloque",
IF(Datos!G30=5,D29,0),
0)),0)</f>
        <v>0</v>
      </c>
      <c r="W29" s="9">
        <f>(((L29*4.5)+(M29*12)+(O29*0.5)+(P29*4)+(Q29*8.5)+(S29*0.5)+(T29*4)+(U29*8.5)+(V29*6))*Datos!E30)/100</f>
        <v>0</v>
      </c>
      <c r="X29" s="6">
        <f t="shared" si="21"/>
        <v>0</v>
      </c>
      <c r="Y29" s="9">
        <f t="shared" si="4"/>
        <v>0</v>
      </c>
      <c r="Z29" s="9">
        <f t="shared" si="22"/>
        <v>0</v>
      </c>
      <c r="AA29" s="6">
        <f t="shared" si="23"/>
        <v>0</v>
      </c>
      <c r="AB29" s="9">
        <f t="shared" si="24"/>
        <v>0</v>
      </c>
      <c r="AC29" s="6">
        <f t="shared" si="25"/>
        <v>0</v>
      </c>
      <c r="AD29" s="6">
        <f t="shared" si="26"/>
        <v>0</v>
      </c>
      <c r="AE29" s="5">
        <f t="shared" si="27"/>
        <v>0</v>
      </c>
      <c r="AF29" s="5">
        <f>IF(Datos!F30="En_Bloque",0,IF(Datos!F30="Por_Surcos",IF(Datos!G30=1,E29/Plantas_Paliativa_Por_Dia,0),0))</f>
        <v>0</v>
      </c>
      <c r="AG29" s="5">
        <f t="shared" si="28"/>
        <v>0</v>
      </c>
      <c r="AH29" s="5">
        <f t="shared" si="29"/>
        <v>0</v>
      </c>
      <c r="AI29" s="5">
        <f t="shared" si="30"/>
        <v>0</v>
      </c>
      <c r="AJ29" s="5">
        <f t="shared" si="31"/>
        <v>0</v>
      </c>
      <c r="AK29" s="5">
        <f t="shared" si="32"/>
        <v>0</v>
      </c>
      <c r="AL29" s="5">
        <f t="shared" si="33"/>
        <v>0</v>
      </c>
      <c r="AM29" s="5">
        <f t="shared" si="34"/>
        <v>0</v>
      </c>
      <c r="AN29" s="5">
        <f t="shared" si="35"/>
        <v>0</v>
      </c>
      <c r="AO29" s="5">
        <f t="shared" si="36"/>
        <v>0</v>
      </c>
      <c r="AP29" s="5">
        <f t="shared" si="37"/>
        <v>0</v>
      </c>
      <c r="AQ29" s="5">
        <f t="shared" si="38"/>
        <v>0</v>
      </c>
      <c r="AR29" s="5">
        <f t="shared" si="10"/>
        <v>0</v>
      </c>
      <c r="AS29" s="6">
        <f>'Eficiencias &amp; Configuración'!B$12*Cálculos!C29</f>
        <v>0</v>
      </c>
      <c r="AT29" s="6">
        <f>IFERROR(('Eficiencias &amp; Configuración'!B$15*C29)*'Eficiencias &amp; Configuración'!B$14,0)</f>
        <v>0</v>
      </c>
      <c r="AU29">
        <f>C29*'Eficiencias &amp; Configuración'!B$16</f>
        <v>0</v>
      </c>
      <c r="AV29">
        <f>C29*'Eficiencias &amp; Configuración'!B$19</f>
        <v>0</v>
      </c>
      <c r="AW29">
        <f>(H29*Enfermedades_Crecimiento)*'Eficiencias &amp; Configuración'!B$18</f>
        <v>0</v>
      </c>
      <c r="AX29">
        <f>(I29+J29)*Enfermedades_Producción*'Eficiencias &amp; Configuración'!B$18</f>
        <v>0</v>
      </c>
      <c r="AY29" s="23">
        <f>W29*'Eficiencias &amp; Configuración'!B$24</f>
        <v>0</v>
      </c>
      <c r="AZ29" s="4">
        <f>(W29/5)*'Eficiencias &amp; Configuración'!B$25</f>
        <v>0</v>
      </c>
      <c r="BA29" s="5">
        <f t="shared" si="39"/>
        <v>0</v>
      </c>
      <c r="BB29" s="4">
        <f t="shared" si="40"/>
        <v>0</v>
      </c>
      <c r="BC29" s="4">
        <f t="shared" si="12"/>
        <v>0</v>
      </c>
      <c r="BD29" s="4">
        <f t="shared" si="41"/>
        <v>0</v>
      </c>
      <c r="BE29" s="5">
        <f t="shared" si="42"/>
        <v>0</v>
      </c>
      <c r="BF29" s="5">
        <f t="shared" si="43"/>
        <v>0</v>
      </c>
      <c r="BG29" s="5" t="e">
        <f t="shared" si="13"/>
        <v>#DIV/0!</v>
      </c>
      <c r="BH29" s="4">
        <f t="shared" si="14"/>
        <v>0</v>
      </c>
      <c r="BI29" s="4" t="e">
        <f t="shared" si="44"/>
        <v>#DIV/0!</v>
      </c>
    </row>
    <row r="30" spans="1:61" x14ac:dyDescent="0.25">
      <c r="A30" t="str">
        <f>Datos!A31</f>
        <v>Lote 27</v>
      </c>
      <c r="B30" s="6">
        <f>Datos!B31</f>
        <v>0</v>
      </c>
      <c r="C30">
        <f>_xlfn.XLOOKUP(UM,Hoja1!A$2:A$7,Hoja1!B$2:B$7)*B30</f>
        <v>0</v>
      </c>
      <c r="D30" s="9">
        <f>IFERROR((Metros2*Datos!B31/(Datos!D31*Datos!C31)),0)</f>
        <v>0</v>
      </c>
      <c r="E30" s="6">
        <f t="shared" si="15"/>
        <v>0</v>
      </c>
      <c r="F30" s="12">
        <f t="shared" si="16"/>
        <v>0</v>
      </c>
      <c r="G30" s="6">
        <f t="shared" si="17"/>
        <v>0</v>
      </c>
      <c r="H30">
        <f t="shared" si="18"/>
        <v>0</v>
      </c>
      <c r="I30">
        <f t="shared" si="19"/>
        <v>0</v>
      </c>
      <c r="J30">
        <f t="shared" si="20"/>
        <v>0</v>
      </c>
      <c r="K30" s="9">
        <f>IF(Ciclo="_3_años",
IF(Datos!F31="Por_Surcos",
IF(Datos!G31&gt;=1,D30/3,0),
IF(Datos!F31="En_Bloque",
IF(Datos!G31=1,D30,0),
0)),0)</f>
        <v>0</v>
      </c>
      <c r="L30" s="17">
        <f>IF(Ciclo="_3_años",
IF(Datos!F31="Por_Surcos",
IF(Datos!G31&gt;=2,D30/3,0),
IF(Datos!F31="En_Bloque",
IF(Datos!G31=2,D30,0),
0)),0)</f>
        <v>0</v>
      </c>
      <c r="M30" s="9">
        <f>IF(Ciclo="_3_años",
IF(Datos!F31="Por_Surcos",
IF(Datos!G31&gt;=3,D30/3,0),
IF(Datos!F31="En_Bloque",
IF(Datos!G31=3,D30,0),
0)),0)</f>
        <v>0</v>
      </c>
      <c r="N30" s="9">
        <f>IF(Ciclo="_4_años",
IF(Datos!F31="Por_Surcos",
IF(Datos!G31&gt;=1,D30/4,0),
IF(Datos!F31="En_Bloque",
IF(Datos!G31=1,D30,0),
0)),0)</f>
        <v>0</v>
      </c>
      <c r="O30" s="9">
        <f>IF(Ciclo="_4_años",
IF(Datos!F31="Por_Surcos",
IF(Datos!G31&gt;=2,D30/4,0),
IF(Datos!F31="En_Bloque",
IF(Datos!G31=2,D30,0),
0)),0)</f>
        <v>0</v>
      </c>
      <c r="P30" s="9">
        <f>IF(Ciclo="_4_años",
IF(Datos!F31="Por_Surcos",
IF(Datos!G31&gt;=3,D30/4,0),
IF(Datos!F31="En_Bloque",
IF(Datos!G31=3,D30,0),
0)),0)</f>
        <v>0</v>
      </c>
      <c r="Q30" s="9">
        <f>IF(Ciclo="_4_años",
IF(Datos!F31="Por_Surcos",
IF(Datos!G31&gt;=4,D30/4,0),
IF(Datos!F31="En_Bloque",
IF(Datos!G31=4,D30,0),
0)),0)</f>
        <v>0</v>
      </c>
      <c r="R30" s="9">
        <f>IF(Ciclo="_5_años",
IF(Datos!F31="Por_Surcos",
IF(Datos!G31&gt;=1,D30/5,0),
IF(Datos!F31="En_Bloque",
IF(Datos!G31=1,D30,0),
0)),0)</f>
        <v>0</v>
      </c>
      <c r="S30" s="9">
        <f>IF(Ciclo="_5_años",
IF(Datos!F31="Por_Surcos",
IF(Datos!G31&gt;=2,D30/5,0),
IF(Datos!F31="En_Bloque",
IF(Datos!G31=2,D30,0),
0)),0)</f>
        <v>0</v>
      </c>
      <c r="T30" s="9">
        <f>IF(Ciclo="_5_años",
IF(Datos!F31="Por_Surcos",
IF(Datos!G31&gt;=3,D30/5,0),
IF(Datos!F31="En_Bloque",
IF(Datos!G31=3,D30,0),
0)),0)</f>
        <v>0</v>
      </c>
      <c r="U30" s="9">
        <f>IF(Ciclo="_5_años",
IF(Datos!F31="Por_Surcos",
IF(Datos!G31&gt;=4,D30/5,0),
IF(Datos!F31="En_Bloque",
IF(Datos!G31=4,D30,0),
0)),0)</f>
        <v>0</v>
      </c>
      <c r="V30" s="9">
        <f>IF(Ciclo="_5_años",
IF(Datos!F31="Por_Surcos",
IF(Datos!G31&gt;=5,D30/5,0),
IF(Datos!F31="En_Bloque",
IF(Datos!G31=5,D30,0),
0)),0)</f>
        <v>0</v>
      </c>
      <c r="W30" s="9">
        <f>(((L30*4.5)+(M30*12)+(O30*0.5)+(P30*4)+(Q30*8.5)+(S30*0.5)+(T30*4)+(U30*8.5)+(V30*6))*Datos!E31)/100</f>
        <v>0</v>
      </c>
      <c r="X30" s="6">
        <f t="shared" si="21"/>
        <v>0</v>
      </c>
      <c r="Y30" s="9">
        <f t="shared" si="4"/>
        <v>0</v>
      </c>
      <c r="Z30" s="9">
        <f t="shared" si="22"/>
        <v>0</v>
      </c>
      <c r="AA30" s="6">
        <f t="shared" si="23"/>
        <v>0</v>
      </c>
      <c r="AB30" s="9">
        <f t="shared" si="24"/>
        <v>0</v>
      </c>
      <c r="AC30" s="6">
        <f t="shared" si="25"/>
        <v>0</v>
      </c>
      <c r="AD30" s="6">
        <f t="shared" si="26"/>
        <v>0</v>
      </c>
      <c r="AE30" s="5">
        <f t="shared" si="27"/>
        <v>0</v>
      </c>
      <c r="AF30" s="5">
        <f>IF(Datos!F31="En_Bloque",0,IF(Datos!F31="Por_Surcos",IF(Datos!G31=1,E30/Plantas_Paliativa_Por_Dia,0),0))</f>
        <v>0</v>
      </c>
      <c r="AG30" s="5">
        <f t="shared" si="28"/>
        <v>0</v>
      </c>
      <c r="AH30" s="5">
        <f t="shared" si="29"/>
        <v>0</v>
      </c>
      <c r="AI30" s="5">
        <f t="shared" si="30"/>
        <v>0</v>
      </c>
      <c r="AJ30" s="5">
        <f t="shared" si="31"/>
        <v>0</v>
      </c>
      <c r="AK30" s="5">
        <f t="shared" si="32"/>
        <v>0</v>
      </c>
      <c r="AL30" s="5">
        <f t="shared" si="33"/>
        <v>0</v>
      </c>
      <c r="AM30" s="5">
        <f t="shared" si="34"/>
        <v>0</v>
      </c>
      <c r="AN30" s="5">
        <f t="shared" si="35"/>
        <v>0</v>
      </c>
      <c r="AO30" s="5">
        <f t="shared" si="36"/>
        <v>0</v>
      </c>
      <c r="AP30" s="5">
        <f t="shared" si="37"/>
        <v>0</v>
      </c>
      <c r="AQ30" s="5">
        <f t="shared" si="38"/>
        <v>0</v>
      </c>
      <c r="AR30" s="5">
        <f t="shared" si="10"/>
        <v>0</v>
      </c>
      <c r="AS30" s="6">
        <f>'Eficiencias &amp; Configuración'!B$12*Cálculos!C30</f>
        <v>0</v>
      </c>
      <c r="AT30" s="6">
        <f>IFERROR(('Eficiencias &amp; Configuración'!B$15*C30)*'Eficiencias &amp; Configuración'!B$14,0)</f>
        <v>0</v>
      </c>
      <c r="AU30">
        <f>C30*'Eficiencias &amp; Configuración'!B$16</f>
        <v>0</v>
      </c>
      <c r="AV30">
        <f>C30*'Eficiencias &amp; Configuración'!B$19</f>
        <v>0</v>
      </c>
      <c r="AW30">
        <f>(H30*Enfermedades_Crecimiento)*'Eficiencias &amp; Configuración'!B$18</f>
        <v>0</v>
      </c>
      <c r="AX30">
        <f>(I30+J30)*Enfermedades_Producción*'Eficiencias &amp; Configuración'!B$18</f>
        <v>0</v>
      </c>
      <c r="AY30" s="23">
        <f>W30*'Eficiencias &amp; Configuración'!B$24</f>
        <v>0</v>
      </c>
      <c r="AZ30" s="4">
        <f>(W30/5)*'Eficiencias &amp; Configuración'!B$25</f>
        <v>0</v>
      </c>
      <c r="BA30" s="5">
        <f t="shared" si="39"/>
        <v>0</v>
      </c>
      <c r="BB30" s="4">
        <f t="shared" si="40"/>
        <v>0</v>
      </c>
      <c r="BC30" s="4">
        <f t="shared" si="12"/>
        <v>0</v>
      </c>
      <c r="BD30" s="4">
        <f t="shared" si="41"/>
        <v>0</v>
      </c>
      <c r="BE30" s="5">
        <f t="shared" si="42"/>
        <v>0</v>
      </c>
      <c r="BF30" s="5">
        <f t="shared" si="43"/>
        <v>0</v>
      </c>
      <c r="BG30" s="5" t="e">
        <f t="shared" si="13"/>
        <v>#DIV/0!</v>
      </c>
      <c r="BH30" s="4">
        <f t="shared" si="14"/>
        <v>0</v>
      </c>
      <c r="BI30" s="4" t="e">
        <f t="shared" si="44"/>
        <v>#DIV/0!</v>
      </c>
    </row>
    <row r="31" spans="1:61" x14ac:dyDescent="0.25">
      <c r="A31" t="str">
        <f>Datos!A32</f>
        <v>Lote 28</v>
      </c>
      <c r="B31" s="6">
        <f>Datos!B32</f>
        <v>0</v>
      </c>
      <c r="C31">
        <f>_xlfn.XLOOKUP(UM,Hoja1!A$2:A$7,Hoja1!B$2:B$7)*B31</f>
        <v>0</v>
      </c>
      <c r="D31" s="9">
        <f>IFERROR((Metros2*Datos!B32/(Datos!D32*Datos!C32)),0)</f>
        <v>0</v>
      </c>
      <c r="E31" s="6">
        <f t="shared" si="15"/>
        <v>0</v>
      </c>
      <c r="F31" s="12">
        <f t="shared" si="16"/>
        <v>0</v>
      </c>
      <c r="G31" s="6">
        <f t="shared" si="17"/>
        <v>0</v>
      </c>
      <c r="H31">
        <f t="shared" si="18"/>
        <v>0</v>
      </c>
      <c r="I31">
        <f t="shared" si="19"/>
        <v>0</v>
      </c>
      <c r="J31">
        <f t="shared" si="20"/>
        <v>0</v>
      </c>
      <c r="K31" s="9">
        <f>IF(Ciclo="_3_años",
IF(Datos!F32="Por_Surcos",
IF(Datos!G32&gt;=1,D31/3,0),
IF(Datos!F32="En_Bloque",
IF(Datos!G32=1,D31,0),
0)),0)</f>
        <v>0</v>
      </c>
      <c r="L31" s="17">
        <f>IF(Ciclo="_3_años",
IF(Datos!F32="Por_Surcos",
IF(Datos!G32&gt;=2,D31/3,0),
IF(Datos!F32="En_Bloque",
IF(Datos!G32=2,D31,0),
0)),0)</f>
        <v>0</v>
      </c>
      <c r="M31" s="9">
        <f>IF(Ciclo="_3_años",
IF(Datos!F32="Por_Surcos",
IF(Datos!G32&gt;=3,D31/3,0),
IF(Datos!F32="En_Bloque",
IF(Datos!G32=3,D31,0),
0)),0)</f>
        <v>0</v>
      </c>
      <c r="N31" s="9">
        <f>IF(Ciclo="_4_años",
IF(Datos!F32="Por_Surcos",
IF(Datos!G32&gt;=1,D31/4,0),
IF(Datos!F32="En_Bloque",
IF(Datos!G32=1,D31,0),
0)),0)</f>
        <v>0</v>
      </c>
      <c r="O31" s="9">
        <f>IF(Ciclo="_4_años",
IF(Datos!F32="Por_Surcos",
IF(Datos!G32&gt;=2,D31/4,0),
IF(Datos!F32="En_Bloque",
IF(Datos!G32=2,D31,0),
0)),0)</f>
        <v>0</v>
      </c>
      <c r="P31" s="9">
        <f>IF(Ciclo="_4_años",
IF(Datos!F32="Por_Surcos",
IF(Datos!G32&gt;=3,D31/4,0),
IF(Datos!F32="En_Bloque",
IF(Datos!G32=3,D31,0),
0)),0)</f>
        <v>0</v>
      </c>
      <c r="Q31" s="9">
        <f>IF(Ciclo="_4_años",
IF(Datos!F32="Por_Surcos",
IF(Datos!G32&gt;=4,D31/4,0),
IF(Datos!F32="En_Bloque",
IF(Datos!G32=4,D31,0),
0)),0)</f>
        <v>0</v>
      </c>
      <c r="R31" s="9">
        <f>IF(Ciclo="_5_años",
IF(Datos!F32="Por_Surcos",
IF(Datos!G32&gt;=1,D31/5,0),
IF(Datos!F32="En_Bloque",
IF(Datos!G32=1,D31,0),
0)),0)</f>
        <v>0</v>
      </c>
      <c r="S31" s="9">
        <f>IF(Ciclo="_5_años",
IF(Datos!F32="Por_Surcos",
IF(Datos!G32&gt;=2,D31/5,0),
IF(Datos!F32="En_Bloque",
IF(Datos!G32=2,D31,0),
0)),0)</f>
        <v>0</v>
      </c>
      <c r="T31" s="9">
        <f>IF(Ciclo="_5_años",
IF(Datos!F32="Por_Surcos",
IF(Datos!G32&gt;=3,D31/5,0),
IF(Datos!F32="En_Bloque",
IF(Datos!G32=3,D31,0),
0)),0)</f>
        <v>0</v>
      </c>
      <c r="U31" s="9">
        <f>IF(Ciclo="_5_años",
IF(Datos!F32="Por_Surcos",
IF(Datos!G32&gt;=4,D31/5,0),
IF(Datos!F32="En_Bloque",
IF(Datos!G32=4,D31,0),
0)),0)</f>
        <v>0</v>
      </c>
      <c r="V31" s="9">
        <f>IF(Ciclo="_5_años",
IF(Datos!F32="Por_Surcos",
IF(Datos!G32&gt;=5,D31/5,0),
IF(Datos!F32="En_Bloque",
IF(Datos!G32=5,D31,0),
0)),0)</f>
        <v>0</v>
      </c>
      <c r="W31" s="9">
        <f>(((L31*4.5)+(M31*12)+(O31*0.5)+(P31*4)+(Q31*8.5)+(S31*0.5)+(T31*4)+(U31*8.5)+(V31*6))*Datos!E32)/100</f>
        <v>0</v>
      </c>
      <c r="X31" s="6">
        <f t="shared" si="21"/>
        <v>0</v>
      </c>
      <c r="Y31" s="9">
        <f t="shared" si="4"/>
        <v>0</v>
      </c>
      <c r="Z31" s="9">
        <f t="shared" si="22"/>
        <v>0</v>
      </c>
      <c r="AA31" s="6">
        <f t="shared" si="23"/>
        <v>0</v>
      </c>
      <c r="AB31" s="9">
        <f t="shared" si="24"/>
        <v>0</v>
      </c>
      <c r="AC31" s="6">
        <f t="shared" si="25"/>
        <v>0</v>
      </c>
      <c r="AD31" s="6">
        <f t="shared" si="26"/>
        <v>0</v>
      </c>
      <c r="AE31" s="5">
        <f t="shared" si="27"/>
        <v>0</v>
      </c>
      <c r="AF31" s="5">
        <f>IF(Datos!F32="En_Bloque",0,IF(Datos!F32="Por_Surcos",IF(Datos!G32=1,E31/Plantas_Paliativa_Por_Dia,0),0))</f>
        <v>0</v>
      </c>
      <c r="AG31" s="5">
        <f t="shared" si="28"/>
        <v>0</v>
      </c>
      <c r="AH31" s="5">
        <f t="shared" si="29"/>
        <v>0</v>
      </c>
      <c r="AI31" s="5">
        <f t="shared" si="30"/>
        <v>0</v>
      </c>
      <c r="AJ31" s="5">
        <f t="shared" si="31"/>
        <v>0</v>
      </c>
      <c r="AK31" s="5">
        <f t="shared" si="32"/>
        <v>0</v>
      </c>
      <c r="AL31" s="5">
        <f t="shared" si="33"/>
        <v>0</v>
      </c>
      <c r="AM31" s="5">
        <f t="shared" si="34"/>
        <v>0</v>
      </c>
      <c r="AN31" s="5">
        <f t="shared" si="35"/>
        <v>0</v>
      </c>
      <c r="AO31" s="5">
        <f t="shared" si="36"/>
        <v>0</v>
      </c>
      <c r="AP31" s="5">
        <f t="shared" si="37"/>
        <v>0</v>
      </c>
      <c r="AQ31" s="5">
        <f t="shared" si="38"/>
        <v>0</v>
      </c>
      <c r="AR31" s="5">
        <f t="shared" si="10"/>
        <v>0</v>
      </c>
      <c r="AS31" s="6">
        <f>'Eficiencias &amp; Configuración'!B$12*Cálculos!C31</f>
        <v>0</v>
      </c>
      <c r="AT31" s="6">
        <f>IFERROR(('Eficiencias &amp; Configuración'!B$15*C31)*'Eficiencias &amp; Configuración'!B$14,0)</f>
        <v>0</v>
      </c>
      <c r="AU31">
        <f>C31*'Eficiencias &amp; Configuración'!B$16</f>
        <v>0</v>
      </c>
      <c r="AV31">
        <f>C31*'Eficiencias &amp; Configuración'!B$19</f>
        <v>0</v>
      </c>
      <c r="AW31">
        <f>(H31*Enfermedades_Crecimiento)*'Eficiencias &amp; Configuración'!B$18</f>
        <v>0</v>
      </c>
      <c r="AX31">
        <f>(I31+J31)*Enfermedades_Producción*'Eficiencias &amp; Configuración'!B$18</f>
        <v>0</v>
      </c>
      <c r="AY31" s="23">
        <f>W31*'Eficiencias &amp; Configuración'!B$24</f>
        <v>0</v>
      </c>
      <c r="AZ31" s="4">
        <f>(W31/5)*'Eficiencias &amp; Configuración'!B$25</f>
        <v>0</v>
      </c>
      <c r="BA31" s="5">
        <f t="shared" si="39"/>
        <v>0</v>
      </c>
      <c r="BB31" s="4">
        <f t="shared" si="40"/>
        <v>0</v>
      </c>
      <c r="BC31" s="4">
        <f t="shared" si="12"/>
        <v>0</v>
      </c>
      <c r="BD31" s="4">
        <f t="shared" si="41"/>
        <v>0</v>
      </c>
      <c r="BE31" s="5">
        <f t="shared" si="42"/>
        <v>0</v>
      </c>
      <c r="BF31" s="5">
        <f t="shared" si="43"/>
        <v>0</v>
      </c>
      <c r="BG31" s="5" t="e">
        <f t="shared" si="13"/>
        <v>#DIV/0!</v>
      </c>
      <c r="BH31" s="4">
        <f t="shared" si="14"/>
        <v>0</v>
      </c>
      <c r="BI31" s="4" t="e">
        <f t="shared" si="44"/>
        <v>#DIV/0!</v>
      </c>
    </row>
    <row r="32" spans="1:61" x14ac:dyDescent="0.25">
      <c r="A32" t="str">
        <f>Datos!A33</f>
        <v>Lote 29</v>
      </c>
      <c r="B32" s="6">
        <f>Datos!B33</f>
        <v>0</v>
      </c>
      <c r="C32">
        <f>_xlfn.XLOOKUP(UM,Hoja1!A$2:A$7,Hoja1!B$2:B$7)*B32</f>
        <v>0</v>
      </c>
      <c r="D32" s="9">
        <f>IFERROR((Metros2*Datos!B33/(Datos!D33*Datos!C33)),0)</f>
        <v>0</v>
      </c>
      <c r="E32" s="6">
        <f t="shared" si="15"/>
        <v>0</v>
      </c>
      <c r="F32" s="12">
        <f t="shared" si="16"/>
        <v>0</v>
      </c>
      <c r="G32" s="6">
        <f t="shared" si="17"/>
        <v>0</v>
      </c>
      <c r="H32">
        <f t="shared" si="18"/>
        <v>0</v>
      </c>
      <c r="I32">
        <f t="shared" si="19"/>
        <v>0</v>
      </c>
      <c r="J32">
        <f t="shared" si="20"/>
        <v>0</v>
      </c>
      <c r="K32" s="9">
        <f>IF(Ciclo="_3_años",
IF(Datos!F33="Por_Surcos",
IF(Datos!G33&gt;=1,D32/3,0),
IF(Datos!F33="En_Bloque",
IF(Datos!G33=1,D32,0),
0)),0)</f>
        <v>0</v>
      </c>
      <c r="L32" s="17">
        <f>IF(Ciclo="_3_años",
IF(Datos!F33="Por_Surcos",
IF(Datos!G33&gt;=2,D32/3,0),
IF(Datos!F33="En_Bloque",
IF(Datos!G33=2,D32,0),
0)),0)</f>
        <v>0</v>
      </c>
      <c r="M32" s="9">
        <f>IF(Ciclo="_3_años",
IF(Datos!F33="Por_Surcos",
IF(Datos!G33&gt;=3,D32/3,0),
IF(Datos!F33="En_Bloque",
IF(Datos!G33=3,D32,0),
0)),0)</f>
        <v>0</v>
      </c>
      <c r="N32" s="9">
        <f>IF(Ciclo="_4_años",
IF(Datos!F33="Por_Surcos",
IF(Datos!G33&gt;=1,D32/4,0),
IF(Datos!F33="En_Bloque",
IF(Datos!G33=1,D32,0),
0)),0)</f>
        <v>0</v>
      </c>
      <c r="O32" s="9">
        <f>IF(Ciclo="_4_años",
IF(Datos!F33="Por_Surcos",
IF(Datos!G33&gt;=2,D32/4,0),
IF(Datos!F33="En_Bloque",
IF(Datos!G33=2,D32,0),
0)),0)</f>
        <v>0</v>
      </c>
      <c r="P32" s="9">
        <f>IF(Ciclo="_4_años",
IF(Datos!F33="Por_Surcos",
IF(Datos!G33&gt;=3,D32/4,0),
IF(Datos!F33="En_Bloque",
IF(Datos!G33=3,D32,0),
0)),0)</f>
        <v>0</v>
      </c>
      <c r="Q32" s="9">
        <f>IF(Ciclo="_4_años",
IF(Datos!F33="Por_Surcos",
IF(Datos!G33&gt;=4,D32/4,0),
IF(Datos!F33="En_Bloque",
IF(Datos!G33=4,D32,0),
0)),0)</f>
        <v>0</v>
      </c>
      <c r="R32" s="9">
        <f>IF(Ciclo="_5_años",
IF(Datos!F33="Por_Surcos",
IF(Datos!G33&gt;=1,D32/5,0),
IF(Datos!F33="En_Bloque",
IF(Datos!G33=1,D32,0),
0)),0)</f>
        <v>0</v>
      </c>
      <c r="S32" s="9">
        <f>IF(Ciclo="_5_años",
IF(Datos!F33="Por_Surcos",
IF(Datos!G33&gt;=2,D32/5,0),
IF(Datos!F33="En_Bloque",
IF(Datos!G33=2,D32,0),
0)),0)</f>
        <v>0</v>
      </c>
      <c r="T32" s="9">
        <f>IF(Ciclo="_5_años",
IF(Datos!F33="Por_Surcos",
IF(Datos!G33&gt;=3,D32/5,0),
IF(Datos!F33="En_Bloque",
IF(Datos!G33=3,D32,0),
0)),0)</f>
        <v>0</v>
      </c>
      <c r="U32" s="9">
        <f>IF(Ciclo="_5_años",
IF(Datos!F33="Por_Surcos",
IF(Datos!G33&gt;=4,D32/5,0),
IF(Datos!F33="En_Bloque",
IF(Datos!G33=4,D32,0),
0)),0)</f>
        <v>0</v>
      </c>
      <c r="V32" s="9">
        <f>IF(Ciclo="_5_años",
IF(Datos!F33="Por_Surcos",
IF(Datos!G33&gt;=5,D32/5,0),
IF(Datos!F33="En_Bloque",
IF(Datos!G33=5,D32,0),
0)),0)</f>
        <v>0</v>
      </c>
      <c r="W32" s="9">
        <f>(((L32*4.5)+(M32*12)+(O32*0.5)+(P32*4)+(Q32*8.5)+(S32*0.5)+(T32*4)+(U32*8.5)+(V32*6))*Datos!E33)/100</f>
        <v>0</v>
      </c>
      <c r="X32" s="6">
        <f t="shared" si="21"/>
        <v>0</v>
      </c>
      <c r="Y32" s="9">
        <f t="shared" si="4"/>
        <v>0</v>
      </c>
      <c r="Z32" s="9">
        <f t="shared" si="22"/>
        <v>0</v>
      </c>
      <c r="AA32" s="6">
        <f t="shared" si="23"/>
        <v>0</v>
      </c>
      <c r="AB32" s="9">
        <f t="shared" si="24"/>
        <v>0</v>
      </c>
      <c r="AC32" s="6">
        <f t="shared" si="25"/>
        <v>0</v>
      </c>
      <c r="AD32" s="6">
        <f t="shared" si="26"/>
        <v>0</v>
      </c>
      <c r="AE32" s="5">
        <f t="shared" si="27"/>
        <v>0</v>
      </c>
      <c r="AF32" s="5">
        <f>IF(Datos!F33="En_Bloque",0,IF(Datos!F33="Por_Surcos",IF(Datos!G33=1,E32/Plantas_Paliativa_Por_Dia,0),0))</f>
        <v>0</v>
      </c>
      <c r="AG32" s="5">
        <f t="shared" si="28"/>
        <v>0</v>
      </c>
      <c r="AH32" s="5">
        <f t="shared" si="29"/>
        <v>0</v>
      </c>
      <c r="AI32" s="5">
        <f t="shared" si="30"/>
        <v>0</v>
      </c>
      <c r="AJ32" s="5">
        <f t="shared" si="31"/>
        <v>0</v>
      </c>
      <c r="AK32" s="5">
        <f t="shared" si="32"/>
        <v>0</v>
      </c>
      <c r="AL32" s="5">
        <f t="shared" si="33"/>
        <v>0</v>
      </c>
      <c r="AM32" s="5">
        <f t="shared" si="34"/>
        <v>0</v>
      </c>
      <c r="AN32" s="5">
        <f t="shared" si="35"/>
        <v>0</v>
      </c>
      <c r="AO32" s="5">
        <f t="shared" si="36"/>
        <v>0</v>
      </c>
      <c r="AP32" s="5">
        <f t="shared" si="37"/>
        <v>0</v>
      </c>
      <c r="AQ32" s="5">
        <f t="shared" si="38"/>
        <v>0</v>
      </c>
      <c r="AR32" s="5">
        <f t="shared" si="10"/>
        <v>0</v>
      </c>
      <c r="AS32" s="6">
        <f>'Eficiencias &amp; Configuración'!B$12*Cálculos!C32</f>
        <v>0</v>
      </c>
      <c r="AT32" s="6">
        <f>IFERROR(('Eficiencias &amp; Configuración'!B$15*C32)*'Eficiencias &amp; Configuración'!B$14,0)</f>
        <v>0</v>
      </c>
      <c r="AU32">
        <f>C32*'Eficiencias &amp; Configuración'!B$16</f>
        <v>0</v>
      </c>
      <c r="AV32">
        <f>C32*'Eficiencias &amp; Configuración'!B$19</f>
        <v>0</v>
      </c>
      <c r="AW32">
        <f>(H32*Enfermedades_Crecimiento)*'Eficiencias &amp; Configuración'!B$18</f>
        <v>0</v>
      </c>
      <c r="AX32">
        <f>(I32+J32)*Enfermedades_Producción*'Eficiencias &amp; Configuración'!B$18</f>
        <v>0</v>
      </c>
      <c r="AY32" s="23">
        <f>W32*'Eficiencias &amp; Configuración'!B$24</f>
        <v>0</v>
      </c>
      <c r="AZ32" s="4">
        <f>(W32/5)*'Eficiencias &amp; Configuración'!B$25</f>
        <v>0</v>
      </c>
      <c r="BA32" s="5">
        <f t="shared" si="39"/>
        <v>0</v>
      </c>
      <c r="BB32" s="4">
        <f t="shared" si="40"/>
        <v>0</v>
      </c>
      <c r="BC32" s="4">
        <f t="shared" si="12"/>
        <v>0</v>
      </c>
      <c r="BD32" s="4">
        <f t="shared" si="41"/>
        <v>0</v>
      </c>
      <c r="BE32" s="5">
        <f t="shared" si="42"/>
        <v>0</v>
      </c>
      <c r="BF32" s="5">
        <f t="shared" si="43"/>
        <v>0</v>
      </c>
      <c r="BG32" s="5" t="e">
        <f t="shared" si="13"/>
        <v>#DIV/0!</v>
      </c>
      <c r="BH32" s="4">
        <f t="shared" si="14"/>
        <v>0</v>
      </c>
      <c r="BI32" s="4" t="e">
        <f t="shared" si="44"/>
        <v>#DIV/0!</v>
      </c>
    </row>
    <row r="33" spans="1:61" x14ac:dyDescent="0.25">
      <c r="A33" t="str">
        <f>Datos!A34</f>
        <v>Lote 30</v>
      </c>
      <c r="B33" s="6">
        <f>Datos!B34</f>
        <v>0</v>
      </c>
      <c r="C33">
        <f>_xlfn.XLOOKUP(UM,Hoja1!A$2:A$7,Hoja1!B$2:B$7)*B33</f>
        <v>0</v>
      </c>
      <c r="D33" s="9">
        <f>IFERROR((Metros2*Datos!B34/(Datos!D34*Datos!C34)),0)</f>
        <v>0</v>
      </c>
      <c r="E33" s="6">
        <f t="shared" si="15"/>
        <v>0</v>
      </c>
      <c r="F33" s="12">
        <f t="shared" si="16"/>
        <v>0</v>
      </c>
      <c r="G33" s="6">
        <f t="shared" si="17"/>
        <v>0</v>
      </c>
      <c r="H33">
        <f t="shared" si="18"/>
        <v>0</v>
      </c>
      <c r="I33">
        <f t="shared" si="19"/>
        <v>0</v>
      </c>
      <c r="J33">
        <f t="shared" si="20"/>
        <v>0</v>
      </c>
      <c r="K33" s="9">
        <f>IF(Ciclo="_3_años",
IF(Datos!F34="Por_Surcos",
IF(Datos!G34&gt;=1,D33/3,0),
IF(Datos!F34="En_Bloque",
IF(Datos!G34=1,D33,0),
0)),0)</f>
        <v>0</v>
      </c>
      <c r="L33" s="17">
        <f>IF(Ciclo="_3_años",
IF(Datos!F34="Por_Surcos",
IF(Datos!G34&gt;=2,D33/3,0),
IF(Datos!F34="En_Bloque",
IF(Datos!G34=2,D33,0),
0)),0)</f>
        <v>0</v>
      </c>
      <c r="M33" s="9">
        <f>IF(Ciclo="_3_años",
IF(Datos!F34="Por_Surcos",
IF(Datos!G34&gt;=3,D33/3,0),
IF(Datos!F34="En_Bloque",
IF(Datos!G34=3,D33,0),
0)),0)</f>
        <v>0</v>
      </c>
      <c r="N33" s="9">
        <f>IF(Ciclo="_4_años",
IF(Datos!F34="Por_Surcos",
IF(Datos!G34&gt;=1,D33/4,0),
IF(Datos!F34="En_Bloque",
IF(Datos!G34=1,D33,0),
0)),0)</f>
        <v>0</v>
      </c>
      <c r="O33" s="9">
        <f>IF(Ciclo="_4_años",
IF(Datos!F34="Por_Surcos",
IF(Datos!G34&gt;=2,D33/4,0),
IF(Datos!F34="En_Bloque",
IF(Datos!G34=2,D33,0),
0)),0)</f>
        <v>0</v>
      </c>
      <c r="P33" s="9">
        <f>IF(Ciclo="_4_años",
IF(Datos!F34="Por_Surcos",
IF(Datos!G34&gt;=3,D33/4,0),
IF(Datos!F34="En_Bloque",
IF(Datos!G34=3,D33,0),
0)),0)</f>
        <v>0</v>
      </c>
      <c r="Q33" s="9">
        <f>IF(Ciclo="_4_años",
IF(Datos!F34="Por_Surcos",
IF(Datos!G34&gt;=4,D33/4,0),
IF(Datos!F34="En_Bloque",
IF(Datos!G34=4,D33,0),
0)),0)</f>
        <v>0</v>
      </c>
      <c r="R33" s="9">
        <f>IF(Ciclo="_5_años",
IF(Datos!F34="Por_Surcos",
IF(Datos!G34&gt;=1,D33/5,0),
IF(Datos!F34="En_Bloque",
IF(Datos!G34=1,D33,0),
0)),0)</f>
        <v>0</v>
      </c>
      <c r="S33" s="9">
        <f>IF(Ciclo="_5_años",
IF(Datos!F34="Por_Surcos",
IF(Datos!G34&gt;=2,D33/5,0),
IF(Datos!F34="En_Bloque",
IF(Datos!G34=2,D33,0),
0)),0)</f>
        <v>0</v>
      </c>
      <c r="T33" s="9">
        <f>IF(Ciclo="_5_años",
IF(Datos!F34="Por_Surcos",
IF(Datos!G34&gt;=3,D33/5,0),
IF(Datos!F34="En_Bloque",
IF(Datos!G34=3,D33,0),
0)),0)</f>
        <v>0</v>
      </c>
      <c r="U33" s="9">
        <f>IF(Ciclo="_5_años",
IF(Datos!F34="Por_Surcos",
IF(Datos!G34&gt;=4,D33/5,0),
IF(Datos!F34="En_Bloque",
IF(Datos!G34=4,D33,0),
0)),0)</f>
        <v>0</v>
      </c>
      <c r="V33" s="9">
        <f>IF(Ciclo="_5_años",
IF(Datos!F34="Por_Surcos",
IF(Datos!G34&gt;=5,D33/5,0),
IF(Datos!F34="En_Bloque",
IF(Datos!G34=5,D33,0),
0)),0)</f>
        <v>0</v>
      </c>
      <c r="W33" s="9">
        <f>(((L33*4.5)+(M33*12)+(O33*0.5)+(P33*4)+(Q33*8.5)+(S33*0.5)+(T33*4)+(U33*8.5)+(V33*6))*Datos!E34)/100</f>
        <v>0</v>
      </c>
      <c r="X33" s="6">
        <f t="shared" si="21"/>
        <v>0</v>
      </c>
      <c r="Y33" s="9">
        <f t="shared" si="4"/>
        <v>0</v>
      </c>
      <c r="Z33" s="9">
        <f t="shared" si="22"/>
        <v>0</v>
      </c>
      <c r="AA33" s="6">
        <f t="shared" si="23"/>
        <v>0</v>
      </c>
      <c r="AB33" s="9">
        <f t="shared" si="24"/>
        <v>0</v>
      </c>
      <c r="AC33" s="6">
        <f t="shared" si="25"/>
        <v>0</v>
      </c>
      <c r="AD33" s="6">
        <f t="shared" si="26"/>
        <v>0</v>
      </c>
      <c r="AE33" s="5">
        <f t="shared" si="27"/>
        <v>0</v>
      </c>
      <c r="AF33" s="5">
        <f>IF(Datos!F34="En_Bloque",0,IF(Datos!F34="Por_Surcos",IF(Datos!G34=1,E33/Plantas_Paliativa_Por_Dia,0),0))</f>
        <v>0</v>
      </c>
      <c r="AG33" s="5">
        <f t="shared" si="28"/>
        <v>0</v>
      </c>
      <c r="AH33" s="5">
        <f t="shared" si="29"/>
        <v>0</v>
      </c>
      <c r="AI33" s="5">
        <f t="shared" si="30"/>
        <v>0</v>
      </c>
      <c r="AJ33" s="5">
        <f t="shared" si="31"/>
        <v>0</v>
      </c>
      <c r="AK33" s="5">
        <f t="shared" si="32"/>
        <v>0</v>
      </c>
      <c r="AL33" s="5">
        <f t="shared" si="33"/>
        <v>0</v>
      </c>
      <c r="AM33" s="5">
        <f t="shared" si="34"/>
        <v>0</v>
      </c>
      <c r="AN33" s="5">
        <f t="shared" si="35"/>
        <v>0</v>
      </c>
      <c r="AO33" s="5">
        <f t="shared" si="36"/>
        <v>0</v>
      </c>
      <c r="AP33" s="5">
        <f t="shared" si="37"/>
        <v>0</v>
      </c>
      <c r="AQ33" s="5">
        <f t="shared" si="38"/>
        <v>0</v>
      </c>
      <c r="AR33" s="5">
        <f t="shared" si="10"/>
        <v>0</v>
      </c>
      <c r="AS33" s="6">
        <f>'Eficiencias &amp; Configuración'!B$12*Cálculos!C33</f>
        <v>0</v>
      </c>
      <c r="AT33" s="6">
        <f>IFERROR(('Eficiencias &amp; Configuración'!B$15*C33)*'Eficiencias &amp; Configuración'!B$14,0)</f>
        <v>0</v>
      </c>
      <c r="AU33">
        <f>C33*'Eficiencias &amp; Configuración'!B$16</f>
        <v>0</v>
      </c>
      <c r="AV33">
        <f>C33*'Eficiencias &amp; Configuración'!B$19</f>
        <v>0</v>
      </c>
      <c r="AW33">
        <f>(H33*Enfermedades_Crecimiento)*'Eficiencias &amp; Configuración'!B$18</f>
        <v>0</v>
      </c>
      <c r="AX33">
        <f>(I33+J33)*Enfermedades_Producción*'Eficiencias &amp; Configuración'!B$18</f>
        <v>0</v>
      </c>
      <c r="AY33" s="23">
        <f>W33*'Eficiencias &amp; Configuración'!B$24</f>
        <v>0</v>
      </c>
      <c r="AZ33" s="4">
        <f>(W33/5)*'Eficiencias &amp; Configuración'!B$25</f>
        <v>0</v>
      </c>
      <c r="BA33" s="5">
        <f t="shared" si="39"/>
        <v>0</v>
      </c>
      <c r="BB33" s="4">
        <f t="shared" si="40"/>
        <v>0</v>
      </c>
      <c r="BC33" s="4">
        <f t="shared" si="12"/>
        <v>0</v>
      </c>
      <c r="BD33" s="4">
        <f t="shared" si="41"/>
        <v>0</v>
      </c>
      <c r="BE33" s="5">
        <f t="shared" si="42"/>
        <v>0</v>
      </c>
      <c r="BF33" s="5">
        <f t="shared" si="43"/>
        <v>0</v>
      </c>
      <c r="BG33" s="5" t="e">
        <f t="shared" si="13"/>
        <v>#DIV/0!</v>
      </c>
      <c r="BH33" s="4">
        <f t="shared" si="14"/>
        <v>0</v>
      </c>
      <c r="BI33" s="4" t="e">
        <f t="shared" si="44"/>
        <v>#DIV/0!</v>
      </c>
    </row>
    <row r="34" spans="1:61" x14ac:dyDescent="0.25">
      <c r="A34" t="str">
        <f>Datos!A35</f>
        <v>Lote 31</v>
      </c>
      <c r="B34" s="6">
        <f>Datos!B35</f>
        <v>0</v>
      </c>
      <c r="C34">
        <f>_xlfn.XLOOKUP(UM,Hoja1!A$2:A$7,Hoja1!B$2:B$7)*B34</f>
        <v>0</v>
      </c>
      <c r="D34" s="9">
        <f>IFERROR((Metros2*Datos!B35/(Datos!D35*Datos!C35)),0)</f>
        <v>0</v>
      </c>
      <c r="E34" s="6">
        <f t="shared" si="15"/>
        <v>0</v>
      </c>
      <c r="F34" s="12">
        <f t="shared" si="16"/>
        <v>0</v>
      </c>
      <c r="G34" s="6">
        <f t="shared" si="17"/>
        <v>0</v>
      </c>
      <c r="H34">
        <f t="shared" si="18"/>
        <v>0</v>
      </c>
      <c r="I34">
        <f t="shared" si="19"/>
        <v>0</v>
      </c>
      <c r="J34">
        <f t="shared" si="20"/>
        <v>0</v>
      </c>
      <c r="K34" s="9">
        <f>IF(Ciclo="_3_años",
IF(Datos!F35="Por_Surcos",
IF(Datos!G35&gt;=1,D34/3,0),
IF(Datos!F35="En_Bloque",
IF(Datos!G35=1,D34,0),
0)),0)</f>
        <v>0</v>
      </c>
      <c r="L34" s="17">
        <f>IF(Ciclo="_3_años",
IF(Datos!F35="Por_Surcos",
IF(Datos!G35&gt;=2,D34/3,0),
IF(Datos!F35="En_Bloque",
IF(Datos!G35=2,D34,0),
0)),0)</f>
        <v>0</v>
      </c>
      <c r="M34" s="9">
        <f>IF(Ciclo="_3_años",
IF(Datos!F35="Por_Surcos",
IF(Datos!G35&gt;=3,D34/3,0),
IF(Datos!F35="En_Bloque",
IF(Datos!G35=3,D34,0),
0)),0)</f>
        <v>0</v>
      </c>
      <c r="N34" s="9">
        <f>IF(Ciclo="_4_años",
IF(Datos!F35="Por_Surcos",
IF(Datos!G35&gt;=1,D34/4,0),
IF(Datos!F35="En_Bloque",
IF(Datos!G35=1,D34,0),
0)),0)</f>
        <v>0</v>
      </c>
      <c r="O34" s="9">
        <f>IF(Ciclo="_4_años",
IF(Datos!F35="Por_Surcos",
IF(Datos!G35&gt;=2,D34/4,0),
IF(Datos!F35="En_Bloque",
IF(Datos!G35=2,D34,0),
0)),0)</f>
        <v>0</v>
      </c>
      <c r="P34" s="9">
        <f>IF(Ciclo="_4_años",
IF(Datos!F35="Por_Surcos",
IF(Datos!G35&gt;=3,D34/4,0),
IF(Datos!F35="En_Bloque",
IF(Datos!G35=3,D34,0),
0)),0)</f>
        <v>0</v>
      </c>
      <c r="Q34" s="9">
        <f>IF(Ciclo="_4_años",
IF(Datos!F35="Por_Surcos",
IF(Datos!G35&gt;=4,D34/4,0),
IF(Datos!F35="En_Bloque",
IF(Datos!G35=4,D34,0),
0)),0)</f>
        <v>0</v>
      </c>
      <c r="R34" s="9">
        <f>IF(Ciclo="_5_años",
IF(Datos!F35="Por_Surcos",
IF(Datos!G35&gt;=1,D34/5,0),
IF(Datos!F35="En_Bloque",
IF(Datos!G35=1,D34,0),
0)),0)</f>
        <v>0</v>
      </c>
      <c r="S34" s="9">
        <f>IF(Ciclo="_5_años",
IF(Datos!F35="Por_Surcos",
IF(Datos!G35&gt;=2,D34/5,0),
IF(Datos!F35="En_Bloque",
IF(Datos!G35=2,D34,0),
0)),0)</f>
        <v>0</v>
      </c>
      <c r="T34" s="9">
        <f>IF(Ciclo="_5_años",
IF(Datos!F35="Por_Surcos",
IF(Datos!G35&gt;=3,D34/5,0),
IF(Datos!F35="En_Bloque",
IF(Datos!G35=3,D34,0),
0)),0)</f>
        <v>0</v>
      </c>
      <c r="U34" s="9">
        <f>IF(Ciclo="_5_años",
IF(Datos!F35="Por_Surcos",
IF(Datos!G35&gt;=4,D34/5,0),
IF(Datos!F35="En_Bloque",
IF(Datos!G35=4,D34,0),
0)),0)</f>
        <v>0</v>
      </c>
      <c r="V34" s="9">
        <f>IF(Ciclo="_5_años",
IF(Datos!F35="Por_Surcos",
IF(Datos!G35&gt;=5,D34/5,0),
IF(Datos!F35="En_Bloque",
IF(Datos!G35=5,D34,0),
0)),0)</f>
        <v>0</v>
      </c>
      <c r="W34" s="9">
        <f>(((L34*4.5)+(M34*12)+(O34*0.5)+(P34*4)+(Q34*8.5)+(S34*0.5)+(T34*4)+(U34*8.5)+(V34*6))*Datos!E35)/100</f>
        <v>0</v>
      </c>
      <c r="X34" s="6">
        <f t="shared" si="21"/>
        <v>0</v>
      </c>
      <c r="Y34" s="9">
        <f t="shared" si="4"/>
        <v>0</v>
      </c>
      <c r="Z34" s="9">
        <f t="shared" si="22"/>
        <v>0</v>
      </c>
      <c r="AA34" s="6">
        <f t="shared" si="23"/>
        <v>0</v>
      </c>
      <c r="AB34" s="9">
        <f t="shared" si="24"/>
        <v>0</v>
      </c>
      <c r="AC34" s="6">
        <f t="shared" si="25"/>
        <v>0</v>
      </c>
      <c r="AD34" s="6">
        <f t="shared" si="26"/>
        <v>0</v>
      </c>
      <c r="AE34" s="5">
        <f t="shared" si="27"/>
        <v>0</v>
      </c>
      <c r="AF34" s="5">
        <f>IF(Datos!F35="En_Bloque",0,IF(Datos!F35="Por_Surcos",IF(Datos!G35=1,E34/Plantas_Paliativa_Por_Dia,0),0))</f>
        <v>0</v>
      </c>
      <c r="AG34" s="5">
        <f t="shared" si="28"/>
        <v>0</v>
      </c>
      <c r="AH34" s="5">
        <f t="shared" si="29"/>
        <v>0</v>
      </c>
      <c r="AI34" s="5">
        <f t="shared" si="30"/>
        <v>0</v>
      </c>
      <c r="AJ34" s="5">
        <f t="shared" si="31"/>
        <v>0</v>
      </c>
      <c r="AK34" s="5">
        <f t="shared" si="32"/>
        <v>0</v>
      </c>
      <c r="AL34" s="5">
        <f t="shared" si="33"/>
        <v>0</v>
      </c>
      <c r="AM34" s="5">
        <f t="shared" si="34"/>
        <v>0</v>
      </c>
      <c r="AN34" s="5">
        <f t="shared" si="35"/>
        <v>0</v>
      </c>
      <c r="AO34" s="5">
        <f t="shared" si="36"/>
        <v>0</v>
      </c>
      <c r="AP34" s="5">
        <f t="shared" si="37"/>
        <v>0</v>
      </c>
      <c r="AQ34" s="5">
        <f t="shared" si="38"/>
        <v>0</v>
      </c>
      <c r="AR34" s="5">
        <f t="shared" si="10"/>
        <v>0</v>
      </c>
      <c r="AS34" s="6">
        <f>'Eficiencias &amp; Configuración'!B$12*Cálculos!C34</f>
        <v>0</v>
      </c>
      <c r="AT34" s="6">
        <f>IFERROR(('Eficiencias &amp; Configuración'!B$15*C34)*'Eficiencias &amp; Configuración'!B$14,0)</f>
        <v>0</v>
      </c>
      <c r="AU34">
        <f>C34*'Eficiencias &amp; Configuración'!B$16</f>
        <v>0</v>
      </c>
      <c r="AV34">
        <f>C34*'Eficiencias &amp; Configuración'!B$19</f>
        <v>0</v>
      </c>
      <c r="AW34">
        <f>(H34*Enfermedades_Crecimiento)*'Eficiencias &amp; Configuración'!B$18</f>
        <v>0</v>
      </c>
      <c r="AX34">
        <f>(I34+J34)*Enfermedades_Producción*'Eficiencias &amp; Configuración'!B$18</f>
        <v>0</v>
      </c>
      <c r="AY34" s="23">
        <f>W34*'Eficiencias &amp; Configuración'!B$24</f>
        <v>0</v>
      </c>
      <c r="AZ34" s="4">
        <f>(W34/5)*'Eficiencias &amp; Configuración'!B$25</f>
        <v>0</v>
      </c>
      <c r="BA34" s="5">
        <f t="shared" si="39"/>
        <v>0</v>
      </c>
      <c r="BB34" s="4">
        <f t="shared" si="40"/>
        <v>0</v>
      </c>
      <c r="BC34" s="4">
        <f t="shared" si="12"/>
        <v>0</v>
      </c>
      <c r="BD34" s="4">
        <f t="shared" si="41"/>
        <v>0</v>
      </c>
      <c r="BE34" s="5">
        <f t="shared" si="42"/>
        <v>0</v>
      </c>
      <c r="BF34" s="5">
        <f t="shared" si="43"/>
        <v>0</v>
      </c>
      <c r="BG34" s="5" t="e">
        <f t="shared" si="13"/>
        <v>#DIV/0!</v>
      </c>
      <c r="BH34" s="4">
        <f t="shared" si="14"/>
        <v>0</v>
      </c>
      <c r="BI34" s="4" t="e">
        <f t="shared" si="44"/>
        <v>#DIV/0!</v>
      </c>
    </row>
    <row r="35" spans="1:61" x14ac:dyDescent="0.25">
      <c r="A35" t="str">
        <f>Datos!A36</f>
        <v>Lote 32</v>
      </c>
      <c r="B35" s="6">
        <f>Datos!B36</f>
        <v>0</v>
      </c>
      <c r="C35">
        <f>_xlfn.XLOOKUP(UM,Hoja1!A$2:A$7,Hoja1!B$2:B$7)*B35</f>
        <v>0</v>
      </c>
      <c r="D35" s="9">
        <f>IFERROR((Metros2*Datos!B36/(Datos!D36*Datos!C36)),0)</f>
        <v>0</v>
      </c>
      <c r="E35" s="6">
        <f t="shared" si="15"/>
        <v>0</v>
      </c>
      <c r="F35" s="12">
        <f t="shared" si="16"/>
        <v>0</v>
      </c>
      <c r="G35" s="6">
        <f t="shared" si="17"/>
        <v>0</v>
      </c>
      <c r="H35">
        <f t="shared" si="18"/>
        <v>0</v>
      </c>
      <c r="I35">
        <f t="shared" si="19"/>
        <v>0</v>
      </c>
      <c r="J35">
        <f t="shared" si="20"/>
        <v>0</v>
      </c>
      <c r="K35" s="9">
        <f>IF(Ciclo="_3_años",
IF(Datos!F36="Por_Surcos",
IF(Datos!G36&gt;=1,D35/3,0),
IF(Datos!F36="En_Bloque",
IF(Datos!G36=1,D35,0),
0)),0)</f>
        <v>0</v>
      </c>
      <c r="L35" s="17">
        <f>IF(Ciclo="_3_años",
IF(Datos!F36="Por_Surcos",
IF(Datos!G36&gt;=2,D35/3,0),
IF(Datos!F36="En_Bloque",
IF(Datos!G36=2,D35,0),
0)),0)</f>
        <v>0</v>
      </c>
      <c r="M35" s="9">
        <f>IF(Ciclo="_3_años",
IF(Datos!F36="Por_Surcos",
IF(Datos!G36&gt;=3,D35/3,0),
IF(Datos!F36="En_Bloque",
IF(Datos!G36=3,D35,0),
0)),0)</f>
        <v>0</v>
      </c>
      <c r="N35" s="9">
        <f>IF(Ciclo="_4_años",
IF(Datos!F36="Por_Surcos",
IF(Datos!G36&gt;=1,D35/4,0),
IF(Datos!F36="En_Bloque",
IF(Datos!G36=1,D35,0),
0)),0)</f>
        <v>0</v>
      </c>
      <c r="O35" s="9">
        <f>IF(Ciclo="_4_años",
IF(Datos!F36="Por_Surcos",
IF(Datos!G36&gt;=2,D35/4,0),
IF(Datos!F36="En_Bloque",
IF(Datos!G36=2,D35,0),
0)),0)</f>
        <v>0</v>
      </c>
      <c r="P35" s="9">
        <f>IF(Ciclo="_4_años",
IF(Datos!F36="Por_Surcos",
IF(Datos!G36&gt;=3,D35/4,0),
IF(Datos!F36="En_Bloque",
IF(Datos!G36=3,D35,0),
0)),0)</f>
        <v>0</v>
      </c>
      <c r="Q35" s="9">
        <f>IF(Ciclo="_4_años",
IF(Datos!F36="Por_Surcos",
IF(Datos!G36&gt;=4,D35/4,0),
IF(Datos!F36="En_Bloque",
IF(Datos!G36=4,D35,0),
0)),0)</f>
        <v>0</v>
      </c>
      <c r="R35" s="9">
        <f>IF(Ciclo="_5_años",
IF(Datos!F36="Por_Surcos",
IF(Datos!G36&gt;=1,D35/5,0),
IF(Datos!F36="En_Bloque",
IF(Datos!G36=1,D35,0),
0)),0)</f>
        <v>0</v>
      </c>
      <c r="S35" s="9">
        <f>IF(Ciclo="_5_años",
IF(Datos!F36="Por_Surcos",
IF(Datos!G36&gt;=2,D35/5,0),
IF(Datos!F36="En_Bloque",
IF(Datos!G36=2,D35,0),
0)),0)</f>
        <v>0</v>
      </c>
      <c r="T35" s="9">
        <f>IF(Ciclo="_5_años",
IF(Datos!F36="Por_Surcos",
IF(Datos!G36&gt;=3,D35/5,0),
IF(Datos!F36="En_Bloque",
IF(Datos!G36=3,D35,0),
0)),0)</f>
        <v>0</v>
      </c>
      <c r="U35" s="9">
        <f>IF(Ciclo="_5_años",
IF(Datos!F36="Por_Surcos",
IF(Datos!G36&gt;=4,D35/5,0),
IF(Datos!F36="En_Bloque",
IF(Datos!G36=4,D35,0),
0)),0)</f>
        <v>0</v>
      </c>
      <c r="V35" s="9">
        <f>IF(Ciclo="_5_años",
IF(Datos!F36="Por_Surcos",
IF(Datos!G36&gt;=5,D35/5,0),
IF(Datos!F36="En_Bloque",
IF(Datos!G36=5,D35,0),
0)),0)</f>
        <v>0</v>
      </c>
      <c r="W35" s="9">
        <f>(((L35*4.5)+(M35*12)+(O35*0.5)+(P35*4)+(Q35*8.5)+(S35*0.5)+(T35*4)+(U35*8.5)+(V35*6))*Datos!E36)/100</f>
        <v>0</v>
      </c>
      <c r="X35" s="6">
        <f t="shared" si="21"/>
        <v>0</v>
      </c>
      <c r="Y35" s="9">
        <f t="shared" si="4"/>
        <v>0</v>
      </c>
      <c r="Z35" s="9">
        <f t="shared" si="22"/>
        <v>0</v>
      </c>
      <c r="AA35" s="6">
        <f t="shared" si="23"/>
        <v>0</v>
      </c>
      <c r="AB35" s="9">
        <f t="shared" si="24"/>
        <v>0</v>
      </c>
      <c r="AC35" s="6">
        <f t="shared" si="25"/>
        <v>0</v>
      </c>
      <c r="AD35" s="6">
        <f t="shared" si="26"/>
        <v>0</v>
      </c>
      <c r="AE35" s="5">
        <f t="shared" si="27"/>
        <v>0</v>
      </c>
      <c r="AF35" s="5">
        <f>IF(Datos!F36="En_Bloque",0,IF(Datos!F36="Por_Surcos",IF(Datos!G36=1,E35/Plantas_Paliativa_Por_Dia,0),0))</f>
        <v>0</v>
      </c>
      <c r="AG35" s="5">
        <f t="shared" si="28"/>
        <v>0</v>
      </c>
      <c r="AH35" s="5">
        <f t="shared" si="29"/>
        <v>0</v>
      </c>
      <c r="AI35" s="5">
        <f t="shared" si="30"/>
        <v>0</v>
      </c>
      <c r="AJ35" s="5">
        <f t="shared" si="31"/>
        <v>0</v>
      </c>
      <c r="AK35" s="5">
        <f t="shared" si="32"/>
        <v>0</v>
      </c>
      <c r="AL35" s="5">
        <f t="shared" si="33"/>
        <v>0</v>
      </c>
      <c r="AM35" s="5">
        <f t="shared" si="34"/>
        <v>0</v>
      </c>
      <c r="AN35" s="5">
        <f t="shared" si="35"/>
        <v>0</v>
      </c>
      <c r="AO35" s="5">
        <f t="shared" si="36"/>
        <v>0</v>
      </c>
      <c r="AP35" s="5">
        <f t="shared" si="37"/>
        <v>0</v>
      </c>
      <c r="AQ35" s="5">
        <f t="shared" si="38"/>
        <v>0</v>
      </c>
      <c r="AR35" s="5">
        <f t="shared" si="10"/>
        <v>0</v>
      </c>
      <c r="AS35" s="6">
        <f>'Eficiencias &amp; Configuración'!B$12*Cálculos!C35</f>
        <v>0</v>
      </c>
      <c r="AT35" s="6">
        <f>IFERROR(('Eficiencias &amp; Configuración'!B$15*C35)*'Eficiencias &amp; Configuración'!B$14,0)</f>
        <v>0</v>
      </c>
      <c r="AU35">
        <f>C35*'Eficiencias &amp; Configuración'!B$16</f>
        <v>0</v>
      </c>
      <c r="AV35">
        <f>C35*'Eficiencias &amp; Configuración'!B$19</f>
        <v>0</v>
      </c>
      <c r="AW35">
        <f>(H35*Enfermedades_Crecimiento)*'Eficiencias &amp; Configuración'!B$18</f>
        <v>0</v>
      </c>
      <c r="AX35">
        <f>(I35+J35)*Enfermedades_Producción*'Eficiencias &amp; Configuración'!B$18</f>
        <v>0</v>
      </c>
      <c r="AY35" s="23">
        <f>W35*'Eficiencias &amp; Configuración'!B$24</f>
        <v>0</v>
      </c>
      <c r="AZ35" s="4">
        <f>(W35/5)*'Eficiencias &amp; Configuración'!B$25</f>
        <v>0</v>
      </c>
      <c r="BA35" s="5">
        <f t="shared" si="39"/>
        <v>0</v>
      </c>
      <c r="BB35" s="4">
        <f t="shared" si="40"/>
        <v>0</v>
      </c>
      <c r="BC35" s="4">
        <f t="shared" si="12"/>
        <v>0</v>
      </c>
      <c r="BD35" s="4">
        <f t="shared" si="41"/>
        <v>0</v>
      </c>
      <c r="BE35" s="5">
        <f t="shared" si="42"/>
        <v>0</v>
      </c>
      <c r="BF35" s="5">
        <f t="shared" si="43"/>
        <v>0</v>
      </c>
      <c r="BG35" s="5" t="e">
        <f t="shared" si="13"/>
        <v>#DIV/0!</v>
      </c>
      <c r="BH35" s="4">
        <f t="shared" si="14"/>
        <v>0</v>
      </c>
      <c r="BI35" s="4" t="e">
        <f t="shared" si="44"/>
        <v>#DIV/0!</v>
      </c>
    </row>
    <row r="36" spans="1:61" x14ac:dyDescent="0.25">
      <c r="A36" t="str">
        <f>Datos!A37</f>
        <v>Lote 33</v>
      </c>
      <c r="B36" s="6">
        <f>Datos!B37</f>
        <v>0</v>
      </c>
      <c r="C36">
        <f>_xlfn.XLOOKUP(UM,Hoja1!A$2:A$7,Hoja1!B$2:B$7)*B36</f>
        <v>0</v>
      </c>
      <c r="D36" s="9">
        <f>IFERROR((Metros2*Datos!B37/(Datos!D37*Datos!C37)),0)</f>
        <v>0</v>
      </c>
      <c r="E36" s="6">
        <f t="shared" si="15"/>
        <v>0</v>
      </c>
      <c r="F36" s="12">
        <f t="shared" si="16"/>
        <v>0</v>
      </c>
      <c r="G36" s="6">
        <f t="shared" si="17"/>
        <v>0</v>
      </c>
      <c r="H36">
        <f t="shared" si="18"/>
        <v>0</v>
      </c>
      <c r="I36">
        <f t="shared" si="19"/>
        <v>0</v>
      </c>
      <c r="J36">
        <f t="shared" si="20"/>
        <v>0</v>
      </c>
      <c r="K36" s="9">
        <f>IF(Ciclo="_3_años",
IF(Datos!F37="Por_Surcos",
IF(Datos!G37&gt;=1,D36/3,0),
IF(Datos!F37="En_Bloque",
IF(Datos!G37=1,D36,0),
0)),0)</f>
        <v>0</v>
      </c>
      <c r="L36" s="17">
        <f>IF(Ciclo="_3_años",
IF(Datos!F37="Por_Surcos",
IF(Datos!G37&gt;=2,D36/3,0),
IF(Datos!F37="En_Bloque",
IF(Datos!G37=2,D36,0),
0)),0)</f>
        <v>0</v>
      </c>
      <c r="M36" s="9">
        <f>IF(Ciclo="_3_años",
IF(Datos!F37="Por_Surcos",
IF(Datos!G37&gt;=3,D36/3,0),
IF(Datos!F37="En_Bloque",
IF(Datos!G37=3,D36,0),
0)),0)</f>
        <v>0</v>
      </c>
      <c r="N36" s="9">
        <f>IF(Ciclo="_4_años",
IF(Datos!F37="Por_Surcos",
IF(Datos!G37&gt;=1,D36/4,0),
IF(Datos!F37="En_Bloque",
IF(Datos!G37=1,D36,0),
0)),0)</f>
        <v>0</v>
      </c>
      <c r="O36" s="9">
        <f>IF(Ciclo="_4_años",
IF(Datos!F37="Por_Surcos",
IF(Datos!G37&gt;=2,D36/4,0),
IF(Datos!F37="En_Bloque",
IF(Datos!G37=2,D36,0),
0)),0)</f>
        <v>0</v>
      </c>
      <c r="P36" s="9">
        <f>IF(Ciclo="_4_años",
IF(Datos!F37="Por_Surcos",
IF(Datos!G37&gt;=3,D36/4,0),
IF(Datos!F37="En_Bloque",
IF(Datos!G37=3,D36,0),
0)),0)</f>
        <v>0</v>
      </c>
      <c r="Q36" s="9">
        <f>IF(Ciclo="_4_años",
IF(Datos!F37="Por_Surcos",
IF(Datos!G37&gt;=4,D36/4,0),
IF(Datos!F37="En_Bloque",
IF(Datos!G37=4,D36,0),
0)),0)</f>
        <v>0</v>
      </c>
      <c r="R36" s="9">
        <f>IF(Ciclo="_5_años",
IF(Datos!F37="Por_Surcos",
IF(Datos!G37&gt;=1,D36/5,0),
IF(Datos!F37="En_Bloque",
IF(Datos!G37=1,D36,0),
0)),0)</f>
        <v>0</v>
      </c>
      <c r="S36" s="9">
        <f>IF(Ciclo="_5_años",
IF(Datos!F37="Por_Surcos",
IF(Datos!G37&gt;=2,D36/5,0),
IF(Datos!F37="En_Bloque",
IF(Datos!G37=2,D36,0),
0)),0)</f>
        <v>0</v>
      </c>
      <c r="T36" s="9">
        <f>IF(Ciclo="_5_años",
IF(Datos!F37="Por_Surcos",
IF(Datos!G37&gt;=3,D36/5,0),
IF(Datos!F37="En_Bloque",
IF(Datos!G37=3,D36,0),
0)),0)</f>
        <v>0</v>
      </c>
      <c r="U36" s="9">
        <f>IF(Ciclo="_5_años",
IF(Datos!F37="Por_Surcos",
IF(Datos!G37&gt;=4,D36/5,0),
IF(Datos!F37="En_Bloque",
IF(Datos!G37=4,D36,0),
0)),0)</f>
        <v>0</v>
      </c>
      <c r="V36" s="9">
        <f>IF(Ciclo="_5_años",
IF(Datos!F37="Por_Surcos",
IF(Datos!G37&gt;=5,D36/5,0),
IF(Datos!F37="En_Bloque",
IF(Datos!G37=5,D36,0),
0)),0)</f>
        <v>0</v>
      </c>
      <c r="W36" s="9">
        <f>(((L36*4.5)+(M36*12)+(O36*0.5)+(P36*4)+(Q36*8.5)+(S36*0.5)+(T36*4)+(U36*8.5)+(V36*6))*Datos!E37)/100</f>
        <v>0</v>
      </c>
      <c r="X36" s="6">
        <f t="shared" si="21"/>
        <v>0</v>
      </c>
      <c r="Y36" s="9">
        <f t="shared" ref="Y36:Y67" si="45">(150/(45.36*Formula_N)*100)*I36</f>
        <v>0</v>
      </c>
      <c r="Z36" s="9">
        <f t="shared" si="22"/>
        <v>0</v>
      </c>
      <c r="AA36" s="6">
        <f t="shared" si="23"/>
        <v>0</v>
      </c>
      <c r="AB36" s="9">
        <f t="shared" si="24"/>
        <v>0</v>
      </c>
      <c r="AC36" s="6">
        <f t="shared" si="25"/>
        <v>0</v>
      </c>
      <c r="AD36" s="6">
        <f t="shared" si="26"/>
        <v>0</v>
      </c>
      <c r="AE36" s="5">
        <f t="shared" si="27"/>
        <v>0</v>
      </c>
      <c r="AF36" s="5">
        <f>IF(Datos!F37="En_Bloque",0,IF(Datos!F37="Por_Surcos",IF(Datos!G37=1,E36/Plantas_Paliativa_Por_Dia,0),0))</f>
        <v>0</v>
      </c>
      <c r="AG36" s="5">
        <f t="shared" si="28"/>
        <v>0</v>
      </c>
      <c r="AH36" s="5">
        <f t="shared" si="29"/>
        <v>0</v>
      </c>
      <c r="AI36" s="5">
        <f t="shared" si="30"/>
        <v>0</v>
      </c>
      <c r="AJ36" s="5">
        <f t="shared" si="31"/>
        <v>0</v>
      </c>
      <c r="AK36" s="5">
        <f t="shared" si="32"/>
        <v>0</v>
      </c>
      <c r="AL36" s="5">
        <f t="shared" si="33"/>
        <v>0</v>
      </c>
      <c r="AM36" s="5">
        <f t="shared" si="34"/>
        <v>0</v>
      </c>
      <c r="AN36" s="5">
        <f t="shared" si="35"/>
        <v>0</v>
      </c>
      <c r="AO36" s="5">
        <f t="shared" si="36"/>
        <v>0</v>
      </c>
      <c r="AP36" s="5">
        <f t="shared" si="37"/>
        <v>0</v>
      </c>
      <c r="AQ36" s="5">
        <f t="shared" si="38"/>
        <v>0</v>
      </c>
      <c r="AR36" s="5">
        <f t="shared" ref="AR36:AR67" si="46">(X36+AC36+AD36)/Quintales_Fertilizante_Por_Jornal</f>
        <v>0</v>
      </c>
      <c r="AS36" s="6">
        <f>'Eficiencias &amp; Configuración'!B$12*Cálculos!C36</f>
        <v>0</v>
      </c>
      <c r="AT36" s="6">
        <f>IFERROR(('Eficiencias &amp; Configuración'!B$15*C36)*'Eficiencias &amp; Configuración'!B$14,0)</f>
        <v>0</v>
      </c>
      <c r="AU36">
        <f>C36*'Eficiencias &amp; Configuración'!B$16</f>
        <v>0</v>
      </c>
      <c r="AV36">
        <f>C36*'Eficiencias &amp; Configuración'!B$19</f>
        <v>0</v>
      </c>
      <c r="AW36">
        <f>(H36*Enfermedades_Crecimiento)*'Eficiencias &amp; Configuración'!B$18</f>
        <v>0</v>
      </c>
      <c r="AX36">
        <f>(I36+J36)*Enfermedades_Producción*'Eficiencias &amp; Configuración'!B$18</f>
        <v>0</v>
      </c>
      <c r="AY36" s="23">
        <f>W36*'Eficiencias &amp; Configuración'!B$24</f>
        <v>0</v>
      </c>
      <c r="AZ36" s="4">
        <f>(W36/5)*'Eficiencias &amp; Configuración'!B$25</f>
        <v>0</v>
      </c>
      <c r="BA36" s="5">
        <f t="shared" si="39"/>
        <v>0</v>
      </c>
      <c r="BB36" s="4">
        <f t="shared" si="40"/>
        <v>0</v>
      </c>
      <c r="BC36" s="4">
        <f t="shared" ref="BC36:BC67" si="47">(AS36*Costo_Herbicida)+(AV36*Costo_Fungicida)+(AH36*Costo_Fertilizante)</f>
        <v>0</v>
      </c>
      <c r="BD36" s="4">
        <f t="shared" si="41"/>
        <v>0</v>
      </c>
      <c r="BE36" s="5">
        <f t="shared" si="42"/>
        <v>0</v>
      </c>
      <c r="BF36" s="5">
        <f t="shared" si="43"/>
        <v>0</v>
      </c>
      <c r="BG36" s="5" t="e">
        <f t="shared" ref="BG36:BG67" si="48">Gastos_Administrativos/SUM(Áreas)*B36</f>
        <v>#DIV/0!</v>
      </c>
      <c r="BH36" s="4">
        <f t="shared" ref="BH36:BH67" si="49">(W36*0.9*Precio_Venta_Primera)+(W36*0.07*Precio_Venta_Segunda)+(W36*0.03*Precio_Venta_Inferior)</f>
        <v>0</v>
      </c>
      <c r="BI36" s="4" t="e">
        <f t="shared" si="44"/>
        <v>#DIV/0!</v>
      </c>
    </row>
    <row r="37" spans="1:61" x14ac:dyDescent="0.25">
      <c r="A37" t="str">
        <f>Datos!A38</f>
        <v>Lote 34</v>
      </c>
      <c r="B37" s="6">
        <f>Datos!B38</f>
        <v>0</v>
      </c>
      <c r="C37">
        <f>_xlfn.XLOOKUP(UM,Hoja1!A$2:A$7,Hoja1!B$2:B$7)*B37</f>
        <v>0</v>
      </c>
      <c r="D37" s="9">
        <f>IFERROR((Metros2*Datos!B38/(Datos!D38*Datos!C38)),0)</f>
        <v>0</v>
      </c>
      <c r="E37" s="6">
        <f t="shared" si="15"/>
        <v>0</v>
      </c>
      <c r="F37" s="12">
        <f t="shared" si="16"/>
        <v>0</v>
      </c>
      <c r="G37" s="6">
        <f t="shared" si="17"/>
        <v>0</v>
      </c>
      <c r="H37">
        <f t="shared" si="18"/>
        <v>0</v>
      </c>
      <c r="I37">
        <f t="shared" si="19"/>
        <v>0</v>
      </c>
      <c r="J37">
        <f t="shared" si="20"/>
        <v>0</v>
      </c>
      <c r="K37" s="9">
        <f>IF(Ciclo="_3_años",
IF(Datos!F38="Por_Surcos",
IF(Datos!G38&gt;=1,D37/3,0),
IF(Datos!F38="En_Bloque",
IF(Datos!G38=1,D37,0),
0)),0)</f>
        <v>0</v>
      </c>
      <c r="L37" s="17">
        <f>IF(Ciclo="_3_años",
IF(Datos!F38="Por_Surcos",
IF(Datos!G38&gt;=2,D37/3,0),
IF(Datos!F38="En_Bloque",
IF(Datos!G38=2,D37,0),
0)),0)</f>
        <v>0</v>
      </c>
      <c r="M37" s="9">
        <f>IF(Ciclo="_3_años",
IF(Datos!F38="Por_Surcos",
IF(Datos!G38&gt;=3,D37/3,0),
IF(Datos!F38="En_Bloque",
IF(Datos!G38=3,D37,0),
0)),0)</f>
        <v>0</v>
      </c>
      <c r="N37" s="9">
        <f>IF(Ciclo="_4_años",
IF(Datos!F38="Por_Surcos",
IF(Datos!G38&gt;=1,D37/4,0),
IF(Datos!F38="En_Bloque",
IF(Datos!G38=1,D37,0),
0)),0)</f>
        <v>0</v>
      </c>
      <c r="O37" s="9">
        <f>IF(Ciclo="_4_años",
IF(Datos!F38="Por_Surcos",
IF(Datos!G38&gt;=2,D37/4,0),
IF(Datos!F38="En_Bloque",
IF(Datos!G38=2,D37,0),
0)),0)</f>
        <v>0</v>
      </c>
      <c r="P37" s="9">
        <f>IF(Ciclo="_4_años",
IF(Datos!F38="Por_Surcos",
IF(Datos!G38&gt;=3,D37/4,0),
IF(Datos!F38="En_Bloque",
IF(Datos!G38=3,D37,0),
0)),0)</f>
        <v>0</v>
      </c>
      <c r="Q37" s="9">
        <f>IF(Ciclo="_4_años",
IF(Datos!F38="Por_Surcos",
IF(Datos!G38&gt;=4,D37/4,0),
IF(Datos!F38="En_Bloque",
IF(Datos!G38=4,D37,0),
0)),0)</f>
        <v>0</v>
      </c>
      <c r="R37" s="9">
        <f>IF(Ciclo="_5_años",
IF(Datos!F38="Por_Surcos",
IF(Datos!G38&gt;=1,D37/5,0),
IF(Datos!F38="En_Bloque",
IF(Datos!G38=1,D37,0),
0)),0)</f>
        <v>0</v>
      </c>
      <c r="S37" s="9">
        <f>IF(Ciclo="_5_años",
IF(Datos!F38="Por_Surcos",
IF(Datos!G38&gt;=2,D37/5,0),
IF(Datos!F38="En_Bloque",
IF(Datos!G38=2,D37,0),
0)),0)</f>
        <v>0</v>
      </c>
      <c r="T37" s="9">
        <f>IF(Ciclo="_5_años",
IF(Datos!F38="Por_Surcos",
IF(Datos!G38&gt;=3,D37/5,0),
IF(Datos!F38="En_Bloque",
IF(Datos!G38=3,D37,0),
0)),0)</f>
        <v>0</v>
      </c>
      <c r="U37" s="9">
        <f>IF(Ciclo="_5_años",
IF(Datos!F38="Por_Surcos",
IF(Datos!G38&gt;=4,D37/5,0),
IF(Datos!F38="En_Bloque",
IF(Datos!G38=4,D37,0),
0)),0)</f>
        <v>0</v>
      </c>
      <c r="V37" s="9">
        <f>IF(Ciclo="_5_años",
IF(Datos!F38="Por_Surcos",
IF(Datos!G38&gt;=5,D37/5,0),
IF(Datos!F38="En_Bloque",
IF(Datos!G38=5,D37,0),
0)),0)</f>
        <v>0</v>
      </c>
      <c r="W37" s="9">
        <f>(((L37*4.5)+(M37*12)+(O37*0.5)+(P37*4)+(Q37*8.5)+(S37*0.5)+(T37*4)+(U37*8.5)+(V37*6))*Datos!E38)/100</f>
        <v>0</v>
      </c>
      <c r="X37" s="6">
        <f t="shared" si="21"/>
        <v>0</v>
      </c>
      <c r="Y37" s="9">
        <f t="shared" si="45"/>
        <v>0</v>
      </c>
      <c r="Z37" s="9">
        <f t="shared" si="22"/>
        <v>0</v>
      </c>
      <c r="AA37" s="6">
        <f t="shared" si="23"/>
        <v>0</v>
      </c>
      <c r="AB37" s="9">
        <f t="shared" si="24"/>
        <v>0</v>
      </c>
      <c r="AC37" s="6">
        <f t="shared" si="25"/>
        <v>0</v>
      </c>
      <c r="AD37" s="6">
        <f t="shared" si="26"/>
        <v>0</v>
      </c>
      <c r="AE37" s="5">
        <f t="shared" si="27"/>
        <v>0</v>
      </c>
      <c r="AF37" s="5">
        <f>IF(Datos!F38="En_Bloque",0,IF(Datos!F38="Por_Surcos",IF(Datos!G38=1,E37/Plantas_Paliativa_Por_Dia,0),0))</f>
        <v>0</v>
      </c>
      <c r="AG37" s="5">
        <f t="shared" si="28"/>
        <v>0</v>
      </c>
      <c r="AH37" s="5">
        <f t="shared" si="29"/>
        <v>0</v>
      </c>
      <c r="AI37" s="5">
        <f t="shared" si="30"/>
        <v>0</v>
      </c>
      <c r="AJ37" s="5">
        <f t="shared" si="31"/>
        <v>0</v>
      </c>
      <c r="AK37" s="5">
        <f t="shared" si="32"/>
        <v>0</v>
      </c>
      <c r="AL37" s="5">
        <f t="shared" si="33"/>
        <v>0</v>
      </c>
      <c r="AM37" s="5">
        <f t="shared" si="34"/>
        <v>0</v>
      </c>
      <c r="AN37" s="5">
        <f t="shared" si="35"/>
        <v>0</v>
      </c>
      <c r="AO37" s="5">
        <f t="shared" si="36"/>
        <v>0</v>
      </c>
      <c r="AP37" s="5">
        <f t="shared" si="37"/>
        <v>0</v>
      </c>
      <c r="AQ37" s="5">
        <f t="shared" si="38"/>
        <v>0</v>
      </c>
      <c r="AR37" s="5">
        <f t="shared" si="46"/>
        <v>0</v>
      </c>
      <c r="AS37" s="6">
        <f>'Eficiencias &amp; Configuración'!B$12*Cálculos!C37</f>
        <v>0</v>
      </c>
      <c r="AT37" s="6">
        <f>IFERROR(('Eficiencias &amp; Configuración'!B$15*C37)*'Eficiencias &amp; Configuración'!B$14,0)</f>
        <v>0</v>
      </c>
      <c r="AU37">
        <f>C37*'Eficiencias &amp; Configuración'!B$16</f>
        <v>0</v>
      </c>
      <c r="AV37">
        <f>C37*'Eficiencias &amp; Configuración'!B$19</f>
        <v>0</v>
      </c>
      <c r="AW37">
        <f>(H37*Enfermedades_Crecimiento)*'Eficiencias &amp; Configuración'!B$18</f>
        <v>0</v>
      </c>
      <c r="AX37">
        <f>(I37+J37)*Enfermedades_Producción*'Eficiencias &amp; Configuración'!B$18</f>
        <v>0</v>
      </c>
      <c r="AY37" s="23">
        <f>W37*'Eficiencias &amp; Configuración'!B$24</f>
        <v>0</v>
      </c>
      <c r="AZ37" s="4">
        <f>(W37/5)*'Eficiencias &amp; Configuración'!B$25</f>
        <v>0</v>
      </c>
      <c r="BA37" s="5">
        <f t="shared" si="39"/>
        <v>0</v>
      </c>
      <c r="BB37" s="4">
        <f t="shared" si="40"/>
        <v>0</v>
      </c>
      <c r="BC37" s="4">
        <f t="shared" si="47"/>
        <v>0</v>
      </c>
      <c r="BD37" s="4">
        <f t="shared" si="41"/>
        <v>0</v>
      </c>
      <c r="BE37" s="5">
        <f t="shared" si="42"/>
        <v>0</v>
      </c>
      <c r="BF37" s="5">
        <f t="shared" si="43"/>
        <v>0</v>
      </c>
      <c r="BG37" s="5" t="e">
        <f t="shared" si="48"/>
        <v>#DIV/0!</v>
      </c>
      <c r="BH37" s="4">
        <f t="shared" si="49"/>
        <v>0</v>
      </c>
      <c r="BI37" s="4" t="e">
        <f t="shared" si="44"/>
        <v>#DIV/0!</v>
      </c>
    </row>
    <row r="38" spans="1:61" x14ac:dyDescent="0.25">
      <c r="A38" t="str">
        <f>Datos!A39</f>
        <v>Lote 35</v>
      </c>
      <c r="B38" s="6">
        <f>Datos!B39</f>
        <v>0</v>
      </c>
      <c r="C38">
        <f>_xlfn.XLOOKUP(UM,Hoja1!A$2:A$7,Hoja1!B$2:B$7)*B38</f>
        <v>0</v>
      </c>
      <c r="D38" s="9">
        <f>IFERROR((Metros2*Datos!B39/(Datos!D39*Datos!C39)),0)</f>
        <v>0</v>
      </c>
      <c r="E38" s="6">
        <f t="shared" si="15"/>
        <v>0</v>
      </c>
      <c r="F38" s="12">
        <f t="shared" si="16"/>
        <v>0</v>
      </c>
      <c r="G38" s="6">
        <f t="shared" si="17"/>
        <v>0</v>
      </c>
      <c r="H38">
        <f t="shared" si="18"/>
        <v>0</v>
      </c>
      <c r="I38">
        <f t="shared" si="19"/>
        <v>0</v>
      </c>
      <c r="J38">
        <f t="shared" si="20"/>
        <v>0</v>
      </c>
      <c r="K38" s="9">
        <f>IF(Ciclo="_3_años",
IF(Datos!F39="Por_Surcos",
IF(Datos!G39&gt;=1,D38/3,0),
IF(Datos!F39="En_Bloque",
IF(Datos!G39=1,D38,0),
0)),0)</f>
        <v>0</v>
      </c>
      <c r="L38" s="17">
        <f>IF(Ciclo="_3_años",
IF(Datos!F39="Por_Surcos",
IF(Datos!G39&gt;=2,D38/3,0),
IF(Datos!F39="En_Bloque",
IF(Datos!G39=2,D38,0),
0)),0)</f>
        <v>0</v>
      </c>
      <c r="M38" s="9">
        <f>IF(Ciclo="_3_años",
IF(Datos!F39="Por_Surcos",
IF(Datos!G39&gt;=3,D38/3,0),
IF(Datos!F39="En_Bloque",
IF(Datos!G39=3,D38,0),
0)),0)</f>
        <v>0</v>
      </c>
      <c r="N38" s="9">
        <f>IF(Ciclo="_4_años",
IF(Datos!F39="Por_Surcos",
IF(Datos!G39&gt;=1,D38/4,0),
IF(Datos!F39="En_Bloque",
IF(Datos!G39=1,D38,0),
0)),0)</f>
        <v>0</v>
      </c>
      <c r="O38" s="9">
        <f>IF(Ciclo="_4_años",
IF(Datos!F39="Por_Surcos",
IF(Datos!G39&gt;=2,D38/4,0),
IF(Datos!F39="En_Bloque",
IF(Datos!G39=2,D38,0),
0)),0)</f>
        <v>0</v>
      </c>
      <c r="P38" s="9">
        <f>IF(Ciclo="_4_años",
IF(Datos!F39="Por_Surcos",
IF(Datos!G39&gt;=3,D38/4,0),
IF(Datos!F39="En_Bloque",
IF(Datos!G39=3,D38,0),
0)),0)</f>
        <v>0</v>
      </c>
      <c r="Q38" s="9">
        <f>IF(Ciclo="_4_años",
IF(Datos!F39="Por_Surcos",
IF(Datos!G39&gt;=4,D38/4,0),
IF(Datos!F39="En_Bloque",
IF(Datos!G39=4,D38,0),
0)),0)</f>
        <v>0</v>
      </c>
      <c r="R38" s="9">
        <f>IF(Ciclo="_5_años",
IF(Datos!F39="Por_Surcos",
IF(Datos!G39&gt;=1,D38/5,0),
IF(Datos!F39="En_Bloque",
IF(Datos!G39=1,D38,0),
0)),0)</f>
        <v>0</v>
      </c>
      <c r="S38" s="9">
        <f>IF(Ciclo="_5_años",
IF(Datos!F39="Por_Surcos",
IF(Datos!G39&gt;=2,D38/5,0),
IF(Datos!F39="En_Bloque",
IF(Datos!G39=2,D38,0),
0)),0)</f>
        <v>0</v>
      </c>
      <c r="T38" s="9">
        <f>IF(Ciclo="_5_años",
IF(Datos!F39="Por_Surcos",
IF(Datos!G39&gt;=3,D38/5,0),
IF(Datos!F39="En_Bloque",
IF(Datos!G39=3,D38,0),
0)),0)</f>
        <v>0</v>
      </c>
      <c r="U38" s="9">
        <f>IF(Ciclo="_5_años",
IF(Datos!F39="Por_Surcos",
IF(Datos!G39&gt;=4,D38/5,0),
IF(Datos!F39="En_Bloque",
IF(Datos!G39=4,D38,0),
0)),0)</f>
        <v>0</v>
      </c>
      <c r="V38" s="9">
        <f>IF(Ciclo="_5_años",
IF(Datos!F39="Por_Surcos",
IF(Datos!G39&gt;=5,D38/5,0),
IF(Datos!F39="En_Bloque",
IF(Datos!G39=5,D38,0),
0)),0)</f>
        <v>0</v>
      </c>
      <c r="W38" s="9">
        <f>(((L38*4.5)+(M38*12)+(O38*0.5)+(P38*4)+(Q38*8.5)+(S38*0.5)+(T38*4)+(U38*8.5)+(V38*6))*Datos!E39)/100</f>
        <v>0</v>
      </c>
      <c r="X38" s="6">
        <f t="shared" si="21"/>
        <v>0</v>
      </c>
      <c r="Y38" s="9">
        <f t="shared" si="45"/>
        <v>0</v>
      </c>
      <c r="Z38" s="9">
        <f t="shared" si="22"/>
        <v>0</v>
      </c>
      <c r="AA38" s="6">
        <f t="shared" si="23"/>
        <v>0</v>
      </c>
      <c r="AB38" s="9">
        <f t="shared" si="24"/>
        <v>0</v>
      </c>
      <c r="AC38" s="6">
        <f t="shared" si="25"/>
        <v>0</v>
      </c>
      <c r="AD38" s="6">
        <f t="shared" si="26"/>
        <v>0</v>
      </c>
      <c r="AE38" s="5">
        <f t="shared" si="27"/>
        <v>0</v>
      </c>
      <c r="AF38" s="5">
        <f>IF(Datos!F39="En_Bloque",0,IF(Datos!F39="Por_Surcos",IF(Datos!G39=1,E38/Plantas_Paliativa_Por_Dia,0),0))</f>
        <v>0</v>
      </c>
      <c r="AG38" s="5">
        <f t="shared" si="28"/>
        <v>0</v>
      </c>
      <c r="AH38" s="5">
        <f t="shared" si="29"/>
        <v>0</v>
      </c>
      <c r="AI38" s="5">
        <f t="shared" si="30"/>
        <v>0</v>
      </c>
      <c r="AJ38" s="5">
        <f t="shared" si="31"/>
        <v>0</v>
      </c>
      <c r="AK38" s="5">
        <f t="shared" si="32"/>
        <v>0</v>
      </c>
      <c r="AL38" s="5">
        <f t="shared" si="33"/>
        <v>0</v>
      </c>
      <c r="AM38" s="5">
        <f t="shared" si="34"/>
        <v>0</v>
      </c>
      <c r="AN38" s="5">
        <f t="shared" si="35"/>
        <v>0</v>
      </c>
      <c r="AO38" s="5">
        <f t="shared" si="36"/>
        <v>0</v>
      </c>
      <c r="AP38" s="5">
        <f t="shared" si="37"/>
        <v>0</v>
      </c>
      <c r="AQ38" s="5">
        <f t="shared" si="38"/>
        <v>0</v>
      </c>
      <c r="AR38" s="5">
        <f t="shared" si="46"/>
        <v>0</v>
      </c>
      <c r="AS38" s="6">
        <f>'Eficiencias &amp; Configuración'!B$12*Cálculos!C38</f>
        <v>0</v>
      </c>
      <c r="AT38" s="6">
        <f>IFERROR(('Eficiencias &amp; Configuración'!B$15*C38)*'Eficiencias &amp; Configuración'!B$14,0)</f>
        <v>0</v>
      </c>
      <c r="AU38">
        <f>C38*'Eficiencias &amp; Configuración'!B$16</f>
        <v>0</v>
      </c>
      <c r="AV38">
        <f>C38*'Eficiencias &amp; Configuración'!B$19</f>
        <v>0</v>
      </c>
      <c r="AW38">
        <f>(H38*Enfermedades_Crecimiento)*'Eficiencias &amp; Configuración'!B$18</f>
        <v>0</v>
      </c>
      <c r="AX38">
        <f>(I38+J38)*Enfermedades_Producción*'Eficiencias &amp; Configuración'!B$18</f>
        <v>0</v>
      </c>
      <c r="AY38" s="23">
        <f>W38*'Eficiencias &amp; Configuración'!B$24</f>
        <v>0</v>
      </c>
      <c r="AZ38" s="4">
        <f>(W38/5)*'Eficiencias &amp; Configuración'!B$25</f>
        <v>0</v>
      </c>
      <c r="BA38" s="5">
        <f t="shared" si="39"/>
        <v>0</v>
      </c>
      <c r="BB38" s="4">
        <f t="shared" si="40"/>
        <v>0</v>
      </c>
      <c r="BC38" s="4">
        <f t="shared" si="47"/>
        <v>0</v>
      </c>
      <c r="BD38" s="4">
        <f t="shared" si="41"/>
        <v>0</v>
      </c>
      <c r="BE38" s="5">
        <f t="shared" si="42"/>
        <v>0</v>
      </c>
      <c r="BF38" s="5">
        <f t="shared" si="43"/>
        <v>0</v>
      </c>
      <c r="BG38" s="5" t="e">
        <f t="shared" si="48"/>
        <v>#DIV/0!</v>
      </c>
      <c r="BH38" s="4">
        <f t="shared" si="49"/>
        <v>0</v>
      </c>
      <c r="BI38" s="4" t="e">
        <f t="shared" si="44"/>
        <v>#DIV/0!</v>
      </c>
    </row>
    <row r="39" spans="1:61" x14ac:dyDescent="0.25">
      <c r="A39" t="str">
        <f>Datos!A40</f>
        <v>Lote 36</v>
      </c>
      <c r="B39" s="6">
        <f>Datos!B40</f>
        <v>0</v>
      </c>
      <c r="C39">
        <f>_xlfn.XLOOKUP(UM,Hoja1!A$2:A$7,Hoja1!B$2:B$7)*B39</f>
        <v>0</v>
      </c>
      <c r="D39" s="9">
        <f>IFERROR((Metros2*Datos!B40/(Datos!D40*Datos!C40)),0)</f>
        <v>0</v>
      </c>
      <c r="E39" s="6">
        <f t="shared" si="15"/>
        <v>0</v>
      </c>
      <c r="F39" s="12">
        <f t="shared" si="16"/>
        <v>0</v>
      </c>
      <c r="G39" s="6">
        <f t="shared" si="17"/>
        <v>0</v>
      </c>
      <c r="H39">
        <f t="shared" si="18"/>
        <v>0</v>
      </c>
      <c r="I39">
        <f t="shared" si="19"/>
        <v>0</v>
      </c>
      <c r="J39">
        <f t="shared" si="20"/>
        <v>0</v>
      </c>
      <c r="K39" s="9">
        <f>IF(Ciclo="_3_años",
IF(Datos!F40="Por_Surcos",
IF(Datos!G40&gt;=1,D39/3,0),
IF(Datos!F40="En_Bloque",
IF(Datos!G40=1,D39,0),
0)),0)</f>
        <v>0</v>
      </c>
      <c r="L39" s="17">
        <f>IF(Ciclo="_3_años",
IF(Datos!F40="Por_Surcos",
IF(Datos!G40&gt;=2,D39/3,0),
IF(Datos!F40="En_Bloque",
IF(Datos!G40=2,D39,0),
0)),0)</f>
        <v>0</v>
      </c>
      <c r="M39" s="9">
        <f>IF(Ciclo="_3_años",
IF(Datos!F40="Por_Surcos",
IF(Datos!G40&gt;=3,D39/3,0),
IF(Datos!F40="En_Bloque",
IF(Datos!G40=3,D39,0),
0)),0)</f>
        <v>0</v>
      </c>
      <c r="N39" s="9">
        <f>IF(Ciclo="_4_años",
IF(Datos!F40="Por_Surcos",
IF(Datos!G40&gt;=1,D39/4,0),
IF(Datos!F40="En_Bloque",
IF(Datos!G40=1,D39,0),
0)),0)</f>
        <v>0</v>
      </c>
      <c r="O39" s="9">
        <f>IF(Ciclo="_4_años",
IF(Datos!F40="Por_Surcos",
IF(Datos!G40&gt;=2,D39/4,0),
IF(Datos!F40="En_Bloque",
IF(Datos!G40=2,D39,0),
0)),0)</f>
        <v>0</v>
      </c>
      <c r="P39" s="9">
        <f>IF(Ciclo="_4_años",
IF(Datos!F40="Por_Surcos",
IF(Datos!G40&gt;=3,D39/4,0),
IF(Datos!F40="En_Bloque",
IF(Datos!G40=3,D39,0),
0)),0)</f>
        <v>0</v>
      </c>
      <c r="Q39" s="9">
        <f>IF(Ciclo="_4_años",
IF(Datos!F40="Por_Surcos",
IF(Datos!G40&gt;=4,D39/4,0),
IF(Datos!F40="En_Bloque",
IF(Datos!G40=4,D39,0),
0)),0)</f>
        <v>0</v>
      </c>
      <c r="R39" s="9">
        <f>IF(Ciclo="_5_años",
IF(Datos!F40="Por_Surcos",
IF(Datos!G40&gt;=1,D39/5,0),
IF(Datos!F40="En_Bloque",
IF(Datos!G40=1,D39,0),
0)),0)</f>
        <v>0</v>
      </c>
      <c r="S39" s="9">
        <f>IF(Ciclo="_5_años",
IF(Datos!F40="Por_Surcos",
IF(Datos!G40&gt;=2,D39/5,0),
IF(Datos!F40="En_Bloque",
IF(Datos!G40=2,D39,0),
0)),0)</f>
        <v>0</v>
      </c>
      <c r="T39" s="9">
        <f>IF(Ciclo="_5_años",
IF(Datos!F40="Por_Surcos",
IF(Datos!G40&gt;=3,D39/5,0),
IF(Datos!F40="En_Bloque",
IF(Datos!G40=3,D39,0),
0)),0)</f>
        <v>0</v>
      </c>
      <c r="U39" s="9">
        <f>IF(Ciclo="_5_años",
IF(Datos!F40="Por_Surcos",
IF(Datos!G40&gt;=4,D39/5,0),
IF(Datos!F40="En_Bloque",
IF(Datos!G40=4,D39,0),
0)),0)</f>
        <v>0</v>
      </c>
      <c r="V39" s="9">
        <f>IF(Ciclo="_5_años",
IF(Datos!F40="Por_Surcos",
IF(Datos!G40&gt;=5,D39/5,0),
IF(Datos!F40="En_Bloque",
IF(Datos!G40=5,D39,0),
0)),0)</f>
        <v>0</v>
      </c>
      <c r="W39" s="9">
        <f>(((L39*4.5)+(M39*12)+(O39*0.5)+(P39*4)+(Q39*8.5)+(S39*0.5)+(T39*4)+(U39*8.5)+(V39*6))*Datos!E40)/100</f>
        <v>0</v>
      </c>
      <c r="X39" s="6">
        <f t="shared" si="21"/>
        <v>0</v>
      </c>
      <c r="Y39" s="9">
        <f t="shared" si="45"/>
        <v>0</v>
      </c>
      <c r="Z39" s="9">
        <f t="shared" si="22"/>
        <v>0</v>
      </c>
      <c r="AA39" s="6">
        <f t="shared" si="23"/>
        <v>0</v>
      </c>
      <c r="AB39" s="9">
        <f t="shared" si="24"/>
        <v>0</v>
      </c>
      <c r="AC39" s="6">
        <f t="shared" si="25"/>
        <v>0</v>
      </c>
      <c r="AD39" s="6">
        <f t="shared" si="26"/>
        <v>0</v>
      </c>
      <c r="AE39" s="5">
        <f t="shared" si="27"/>
        <v>0</v>
      </c>
      <c r="AF39" s="5">
        <f>IF(Datos!F40="En_Bloque",0,IF(Datos!F40="Por_Surcos",IF(Datos!G40=1,E39/Plantas_Paliativa_Por_Dia,0),0))</f>
        <v>0</v>
      </c>
      <c r="AG39" s="5">
        <f t="shared" si="28"/>
        <v>0</v>
      </c>
      <c r="AH39" s="5">
        <f t="shared" si="29"/>
        <v>0</v>
      </c>
      <c r="AI39" s="5">
        <f t="shared" si="30"/>
        <v>0</v>
      </c>
      <c r="AJ39" s="5">
        <f t="shared" si="31"/>
        <v>0</v>
      </c>
      <c r="AK39" s="5">
        <f t="shared" si="32"/>
        <v>0</v>
      </c>
      <c r="AL39" s="5">
        <f t="shared" si="33"/>
        <v>0</v>
      </c>
      <c r="AM39" s="5">
        <f t="shared" si="34"/>
        <v>0</v>
      </c>
      <c r="AN39" s="5">
        <f t="shared" si="35"/>
        <v>0</v>
      </c>
      <c r="AO39" s="5">
        <f t="shared" si="36"/>
        <v>0</v>
      </c>
      <c r="AP39" s="5">
        <f t="shared" si="37"/>
        <v>0</v>
      </c>
      <c r="AQ39" s="5">
        <f t="shared" si="38"/>
        <v>0</v>
      </c>
      <c r="AR39" s="5">
        <f t="shared" si="46"/>
        <v>0</v>
      </c>
      <c r="AS39" s="6">
        <f>'Eficiencias &amp; Configuración'!B$12*Cálculos!C39</f>
        <v>0</v>
      </c>
      <c r="AT39" s="6">
        <f>IFERROR(('Eficiencias &amp; Configuración'!B$15*C39)*'Eficiencias &amp; Configuración'!B$14,0)</f>
        <v>0</v>
      </c>
      <c r="AU39">
        <f>C39*'Eficiencias &amp; Configuración'!B$16</f>
        <v>0</v>
      </c>
      <c r="AV39">
        <f>C39*'Eficiencias &amp; Configuración'!B$19</f>
        <v>0</v>
      </c>
      <c r="AW39">
        <f>(H39*Enfermedades_Crecimiento)*'Eficiencias &amp; Configuración'!B$18</f>
        <v>0</v>
      </c>
      <c r="AX39">
        <f>(I39+J39)*Enfermedades_Producción*'Eficiencias &amp; Configuración'!B$18</f>
        <v>0</v>
      </c>
      <c r="AY39" s="23">
        <f>W39*'Eficiencias &amp; Configuración'!B$24</f>
        <v>0</v>
      </c>
      <c r="AZ39" s="4">
        <f>(W39/5)*'Eficiencias &amp; Configuración'!B$25</f>
        <v>0</v>
      </c>
      <c r="BA39" s="5">
        <f t="shared" si="39"/>
        <v>0</v>
      </c>
      <c r="BB39" s="4">
        <f t="shared" si="40"/>
        <v>0</v>
      </c>
      <c r="BC39" s="4">
        <f t="shared" si="47"/>
        <v>0</v>
      </c>
      <c r="BD39" s="4">
        <f t="shared" si="41"/>
        <v>0</v>
      </c>
      <c r="BE39" s="5">
        <f t="shared" si="42"/>
        <v>0</v>
      </c>
      <c r="BF39" s="5">
        <f t="shared" si="43"/>
        <v>0</v>
      </c>
      <c r="BG39" s="5" t="e">
        <f t="shared" si="48"/>
        <v>#DIV/0!</v>
      </c>
      <c r="BH39" s="4">
        <f t="shared" si="49"/>
        <v>0</v>
      </c>
      <c r="BI39" s="4" t="e">
        <f t="shared" si="44"/>
        <v>#DIV/0!</v>
      </c>
    </row>
    <row r="40" spans="1:61" x14ac:dyDescent="0.25">
      <c r="A40" t="str">
        <f>Datos!A41</f>
        <v>Lote 37</v>
      </c>
      <c r="B40" s="6">
        <f>Datos!B41</f>
        <v>0</v>
      </c>
      <c r="C40">
        <f>_xlfn.XLOOKUP(UM,Hoja1!A$2:A$7,Hoja1!B$2:B$7)*B40</f>
        <v>0</v>
      </c>
      <c r="D40" s="9">
        <f>IFERROR((Metros2*Datos!B41/(Datos!D41*Datos!C41)),0)</f>
        <v>0</v>
      </c>
      <c r="E40" s="6">
        <f t="shared" si="15"/>
        <v>0</v>
      </c>
      <c r="F40" s="12">
        <f t="shared" si="16"/>
        <v>0</v>
      </c>
      <c r="G40" s="6">
        <f t="shared" si="17"/>
        <v>0</v>
      </c>
      <c r="H40">
        <f t="shared" si="18"/>
        <v>0</v>
      </c>
      <c r="I40">
        <f t="shared" si="19"/>
        <v>0</v>
      </c>
      <c r="J40">
        <f t="shared" si="20"/>
        <v>0</v>
      </c>
      <c r="K40" s="9">
        <f>IF(Ciclo="_3_años",
IF(Datos!F41="Por_Surcos",
IF(Datos!G41&gt;=1,D40/3,0),
IF(Datos!F41="En_Bloque",
IF(Datos!G41=1,D40,0),
0)),0)</f>
        <v>0</v>
      </c>
      <c r="L40" s="17">
        <f>IF(Ciclo="_3_años",
IF(Datos!F41="Por_Surcos",
IF(Datos!G41&gt;=2,D40/3,0),
IF(Datos!F41="En_Bloque",
IF(Datos!G41=2,D40,0),
0)),0)</f>
        <v>0</v>
      </c>
      <c r="M40" s="9">
        <f>IF(Ciclo="_3_años",
IF(Datos!F41="Por_Surcos",
IF(Datos!G41&gt;=3,D40/3,0),
IF(Datos!F41="En_Bloque",
IF(Datos!G41=3,D40,0),
0)),0)</f>
        <v>0</v>
      </c>
      <c r="N40" s="9">
        <f>IF(Ciclo="_4_años",
IF(Datos!F41="Por_Surcos",
IF(Datos!G41&gt;=1,D40/4,0),
IF(Datos!F41="En_Bloque",
IF(Datos!G41=1,D40,0),
0)),0)</f>
        <v>0</v>
      </c>
      <c r="O40" s="9">
        <f>IF(Ciclo="_4_años",
IF(Datos!F41="Por_Surcos",
IF(Datos!G41&gt;=2,D40/4,0),
IF(Datos!F41="En_Bloque",
IF(Datos!G41=2,D40,0),
0)),0)</f>
        <v>0</v>
      </c>
      <c r="P40" s="9">
        <f>IF(Ciclo="_4_años",
IF(Datos!F41="Por_Surcos",
IF(Datos!G41&gt;=3,D40/4,0),
IF(Datos!F41="En_Bloque",
IF(Datos!G41=3,D40,0),
0)),0)</f>
        <v>0</v>
      </c>
      <c r="Q40" s="9">
        <f>IF(Ciclo="_4_años",
IF(Datos!F41="Por_Surcos",
IF(Datos!G41&gt;=4,D40/4,0),
IF(Datos!F41="En_Bloque",
IF(Datos!G41=4,D40,0),
0)),0)</f>
        <v>0</v>
      </c>
      <c r="R40" s="9">
        <f>IF(Ciclo="_5_años",
IF(Datos!F41="Por_Surcos",
IF(Datos!G41&gt;=1,D40/5,0),
IF(Datos!F41="En_Bloque",
IF(Datos!G41=1,D40,0),
0)),0)</f>
        <v>0</v>
      </c>
      <c r="S40" s="9">
        <f>IF(Ciclo="_5_años",
IF(Datos!F41="Por_Surcos",
IF(Datos!G41&gt;=2,D40/5,0),
IF(Datos!F41="En_Bloque",
IF(Datos!G41=2,D40,0),
0)),0)</f>
        <v>0</v>
      </c>
      <c r="T40" s="9">
        <f>IF(Ciclo="_5_años",
IF(Datos!F41="Por_Surcos",
IF(Datos!G41&gt;=3,D40/5,0),
IF(Datos!F41="En_Bloque",
IF(Datos!G41=3,D40,0),
0)),0)</f>
        <v>0</v>
      </c>
      <c r="U40" s="9">
        <f>IF(Ciclo="_5_años",
IF(Datos!F41="Por_Surcos",
IF(Datos!G41&gt;=4,D40/5,0),
IF(Datos!F41="En_Bloque",
IF(Datos!G41=4,D40,0),
0)),0)</f>
        <v>0</v>
      </c>
      <c r="V40" s="9">
        <f>IF(Ciclo="_5_años",
IF(Datos!F41="Por_Surcos",
IF(Datos!G41&gt;=5,D40/5,0),
IF(Datos!F41="En_Bloque",
IF(Datos!G41=5,D40,0),
0)),0)</f>
        <v>0</v>
      </c>
      <c r="W40" s="9">
        <f>(((L40*4.5)+(M40*12)+(O40*0.5)+(P40*4)+(Q40*8.5)+(S40*0.5)+(T40*4)+(U40*8.5)+(V40*6))*Datos!E41)/100</f>
        <v>0</v>
      </c>
      <c r="X40" s="6">
        <f t="shared" si="21"/>
        <v>0</v>
      </c>
      <c r="Y40" s="9">
        <f t="shared" si="45"/>
        <v>0</v>
      </c>
      <c r="Z40" s="9">
        <f t="shared" si="22"/>
        <v>0</v>
      </c>
      <c r="AA40" s="6">
        <f t="shared" si="23"/>
        <v>0</v>
      </c>
      <c r="AB40" s="9">
        <f t="shared" si="24"/>
        <v>0</v>
      </c>
      <c r="AC40" s="6">
        <f t="shared" si="25"/>
        <v>0</v>
      </c>
      <c r="AD40" s="6">
        <f t="shared" si="26"/>
        <v>0</v>
      </c>
      <c r="AE40" s="5">
        <f t="shared" si="27"/>
        <v>0</v>
      </c>
      <c r="AF40" s="5">
        <f>IF(Datos!F41="En_Bloque",0,IF(Datos!F41="Por_Surcos",IF(Datos!G41=1,E40/Plantas_Paliativa_Por_Dia,0),0))</f>
        <v>0</v>
      </c>
      <c r="AG40" s="5">
        <f t="shared" si="28"/>
        <v>0</v>
      </c>
      <c r="AH40" s="5">
        <f t="shared" si="29"/>
        <v>0</v>
      </c>
      <c r="AI40" s="5">
        <f t="shared" si="30"/>
        <v>0</v>
      </c>
      <c r="AJ40" s="5">
        <f t="shared" si="31"/>
        <v>0</v>
      </c>
      <c r="AK40" s="5">
        <f t="shared" si="32"/>
        <v>0</v>
      </c>
      <c r="AL40" s="5">
        <f t="shared" si="33"/>
        <v>0</v>
      </c>
      <c r="AM40" s="5">
        <f t="shared" si="34"/>
        <v>0</v>
      </c>
      <c r="AN40" s="5">
        <f t="shared" si="35"/>
        <v>0</v>
      </c>
      <c r="AO40" s="5">
        <f t="shared" si="36"/>
        <v>0</v>
      </c>
      <c r="AP40" s="5">
        <f t="shared" si="37"/>
        <v>0</v>
      </c>
      <c r="AQ40" s="5">
        <f t="shared" si="38"/>
        <v>0</v>
      </c>
      <c r="AR40" s="5">
        <f t="shared" si="46"/>
        <v>0</v>
      </c>
      <c r="AS40" s="6">
        <f>'Eficiencias &amp; Configuración'!B$12*Cálculos!C40</f>
        <v>0</v>
      </c>
      <c r="AT40" s="6">
        <f>IFERROR(('Eficiencias &amp; Configuración'!B$15*C40)*'Eficiencias &amp; Configuración'!B$14,0)</f>
        <v>0</v>
      </c>
      <c r="AU40">
        <f>C40*'Eficiencias &amp; Configuración'!B$16</f>
        <v>0</v>
      </c>
      <c r="AV40">
        <f>C40*'Eficiencias &amp; Configuración'!B$19</f>
        <v>0</v>
      </c>
      <c r="AW40">
        <f>(H40*Enfermedades_Crecimiento)*'Eficiencias &amp; Configuración'!B$18</f>
        <v>0</v>
      </c>
      <c r="AX40">
        <f>(I40+J40)*Enfermedades_Producción*'Eficiencias &amp; Configuración'!B$18</f>
        <v>0</v>
      </c>
      <c r="AY40" s="23">
        <f>W40*'Eficiencias &amp; Configuración'!B$24</f>
        <v>0</v>
      </c>
      <c r="AZ40" s="4">
        <f>(W40/5)*'Eficiencias &amp; Configuración'!B$25</f>
        <v>0</v>
      </c>
      <c r="BA40" s="5">
        <f t="shared" si="39"/>
        <v>0</v>
      </c>
      <c r="BB40" s="4">
        <f t="shared" si="40"/>
        <v>0</v>
      </c>
      <c r="BC40" s="4">
        <f t="shared" si="47"/>
        <v>0</v>
      </c>
      <c r="BD40" s="4">
        <f t="shared" si="41"/>
        <v>0</v>
      </c>
      <c r="BE40" s="5">
        <f t="shared" si="42"/>
        <v>0</v>
      </c>
      <c r="BF40" s="5">
        <f t="shared" si="43"/>
        <v>0</v>
      </c>
      <c r="BG40" s="5" t="e">
        <f t="shared" si="48"/>
        <v>#DIV/0!</v>
      </c>
      <c r="BH40" s="4">
        <f t="shared" si="49"/>
        <v>0</v>
      </c>
      <c r="BI40" s="4" t="e">
        <f t="shared" si="44"/>
        <v>#DIV/0!</v>
      </c>
    </row>
    <row r="41" spans="1:61" x14ac:dyDescent="0.25">
      <c r="A41" t="str">
        <f>Datos!A42</f>
        <v>Lote 38</v>
      </c>
      <c r="B41" s="6">
        <f>Datos!B42</f>
        <v>0</v>
      </c>
      <c r="C41">
        <f>_xlfn.XLOOKUP(UM,Hoja1!A$2:A$7,Hoja1!B$2:B$7)*B41</f>
        <v>0</v>
      </c>
      <c r="D41" s="9">
        <f>IFERROR((Metros2*Datos!B42/(Datos!D42*Datos!C42)),0)</f>
        <v>0</v>
      </c>
      <c r="E41" s="6">
        <f t="shared" si="15"/>
        <v>0</v>
      </c>
      <c r="F41" s="12">
        <f t="shared" si="16"/>
        <v>0</v>
      </c>
      <c r="G41" s="6">
        <f t="shared" si="17"/>
        <v>0</v>
      </c>
      <c r="H41">
        <f t="shared" si="18"/>
        <v>0</v>
      </c>
      <c r="I41">
        <f t="shared" si="19"/>
        <v>0</v>
      </c>
      <c r="J41">
        <f t="shared" si="20"/>
        <v>0</v>
      </c>
      <c r="K41" s="9">
        <f>IF(Ciclo="_3_años",
IF(Datos!F42="Por_Surcos",
IF(Datos!G42&gt;=1,D41/3,0),
IF(Datos!F42="En_Bloque",
IF(Datos!G42=1,D41,0),
0)),0)</f>
        <v>0</v>
      </c>
      <c r="L41" s="17">
        <f>IF(Ciclo="_3_años",
IF(Datos!F42="Por_Surcos",
IF(Datos!G42&gt;=2,D41/3,0),
IF(Datos!F42="En_Bloque",
IF(Datos!G42=2,D41,0),
0)),0)</f>
        <v>0</v>
      </c>
      <c r="M41" s="9">
        <f>IF(Ciclo="_3_años",
IF(Datos!F42="Por_Surcos",
IF(Datos!G42&gt;=3,D41/3,0),
IF(Datos!F42="En_Bloque",
IF(Datos!G42=3,D41,0),
0)),0)</f>
        <v>0</v>
      </c>
      <c r="N41" s="9">
        <f>IF(Ciclo="_4_años",
IF(Datos!F42="Por_Surcos",
IF(Datos!G42&gt;=1,D41/4,0),
IF(Datos!F42="En_Bloque",
IF(Datos!G42=1,D41,0),
0)),0)</f>
        <v>0</v>
      </c>
      <c r="O41" s="9">
        <f>IF(Ciclo="_4_años",
IF(Datos!F42="Por_Surcos",
IF(Datos!G42&gt;=2,D41/4,0),
IF(Datos!F42="En_Bloque",
IF(Datos!G42=2,D41,0),
0)),0)</f>
        <v>0</v>
      </c>
      <c r="P41" s="9">
        <f>IF(Ciclo="_4_años",
IF(Datos!F42="Por_Surcos",
IF(Datos!G42&gt;=3,D41/4,0),
IF(Datos!F42="En_Bloque",
IF(Datos!G42=3,D41,0),
0)),0)</f>
        <v>0</v>
      </c>
      <c r="Q41" s="9">
        <f>IF(Ciclo="_4_años",
IF(Datos!F42="Por_Surcos",
IF(Datos!G42&gt;=4,D41/4,0),
IF(Datos!F42="En_Bloque",
IF(Datos!G42=4,D41,0),
0)),0)</f>
        <v>0</v>
      </c>
      <c r="R41" s="9">
        <f>IF(Ciclo="_5_años",
IF(Datos!F42="Por_Surcos",
IF(Datos!G42&gt;=1,D41/5,0),
IF(Datos!F42="En_Bloque",
IF(Datos!G42=1,D41,0),
0)),0)</f>
        <v>0</v>
      </c>
      <c r="S41" s="9">
        <f>IF(Ciclo="_5_años",
IF(Datos!F42="Por_Surcos",
IF(Datos!G42&gt;=2,D41/5,0),
IF(Datos!F42="En_Bloque",
IF(Datos!G42=2,D41,0),
0)),0)</f>
        <v>0</v>
      </c>
      <c r="T41" s="9">
        <f>IF(Ciclo="_5_años",
IF(Datos!F42="Por_Surcos",
IF(Datos!G42&gt;=3,D41/5,0),
IF(Datos!F42="En_Bloque",
IF(Datos!G42=3,D41,0),
0)),0)</f>
        <v>0</v>
      </c>
      <c r="U41" s="9">
        <f>IF(Ciclo="_5_años",
IF(Datos!F42="Por_Surcos",
IF(Datos!G42&gt;=4,D41/5,0),
IF(Datos!F42="En_Bloque",
IF(Datos!G42=4,D41,0),
0)),0)</f>
        <v>0</v>
      </c>
      <c r="V41" s="9">
        <f>IF(Ciclo="_5_años",
IF(Datos!F42="Por_Surcos",
IF(Datos!G42&gt;=5,D41/5,0),
IF(Datos!F42="En_Bloque",
IF(Datos!G42=5,D41,0),
0)),0)</f>
        <v>0</v>
      </c>
      <c r="W41" s="9">
        <f>(((L41*4.5)+(M41*12)+(O41*0.5)+(P41*4)+(Q41*8.5)+(S41*0.5)+(T41*4)+(U41*8.5)+(V41*6))*Datos!E42)/100</f>
        <v>0</v>
      </c>
      <c r="X41" s="6">
        <f t="shared" si="21"/>
        <v>0</v>
      </c>
      <c r="Y41" s="9">
        <f t="shared" si="45"/>
        <v>0</v>
      </c>
      <c r="Z41" s="9">
        <f t="shared" si="22"/>
        <v>0</v>
      </c>
      <c r="AA41" s="6">
        <f t="shared" si="23"/>
        <v>0</v>
      </c>
      <c r="AB41" s="9">
        <f t="shared" si="24"/>
        <v>0</v>
      </c>
      <c r="AC41" s="6">
        <f t="shared" si="25"/>
        <v>0</v>
      </c>
      <c r="AD41" s="6">
        <f t="shared" si="26"/>
        <v>0</v>
      </c>
      <c r="AE41" s="5">
        <f t="shared" si="27"/>
        <v>0</v>
      </c>
      <c r="AF41" s="5">
        <f>IF(Datos!F42="En_Bloque",0,IF(Datos!F42="Por_Surcos",IF(Datos!G42=1,E41/Plantas_Paliativa_Por_Dia,0),0))</f>
        <v>0</v>
      </c>
      <c r="AG41" s="5">
        <f t="shared" si="28"/>
        <v>0</v>
      </c>
      <c r="AH41" s="5">
        <f t="shared" si="29"/>
        <v>0</v>
      </c>
      <c r="AI41" s="5">
        <f t="shared" si="30"/>
        <v>0</v>
      </c>
      <c r="AJ41" s="5">
        <f t="shared" si="31"/>
        <v>0</v>
      </c>
      <c r="AK41" s="5">
        <f t="shared" si="32"/>
        <v>0</v>
      </c>
      <c r="AL41" s="5">
        <f t="shared" si="33"/>
        <v>0</v>
      </c>
      <c r="AM41" s="5">
        <f t="shared" si="34"/>
        <v>0</v>
      </c>
      <c r="AN41" s="5">
        <f t="shared" si="35"/>
        <v>0</v>
      </c>
      <c r="AO41" s="5">
        <f t="shared" si="36"/>
        <v>0</v>
      </c>
      <c r="AP41" s="5">
        <f t="shared" si="37"/>
        <v>0</v>
      </c>
      <c r="AQ41" s="5">
        <f t="shared" si="38"/>
        <v>0</v>
      </c>
      <c r="AR41" s="5">
        <f t="shared" si="46"/>
        <v>0</v>
      </c>
      <c r="AS41" s="6">
        <f>'Eficiencias &amp; Configuración'!B$12*Cálculos!C41</f>
        <v>0</v>
      </c>
      <c r="AT41" s="6">
        <f>IFERROR(('Eficiencias &amp; Configuración'!B$15*C41)*'Eficiencias &amp; Configuración'!B$14,0)</f>
        <v>0</v>
      </c>
      <c r="AU41">
        <f>C41*'Eficiencias &amp; Configuración'!B$16</f>
        <v>0</v>
      </c>
      <c r="AV41">
        <f>C41*'Eficiencias &amp; Configuración'!B$19</f>
        <v>0</v>
      </c>
      <c r="AW41">
        <f>(H41*Enfermedades_Crecimiento)*'Eficiencias &amp; Configuración'!B$18</f>
        <v>0</v>
      </c>
      <c r="AX41">
        <f>(I41+J41)*Enfermedades_Producción*'Eficiencias &amp; Configuración'!B$18</f>
        <v>0</v>
      </c>
      <c r="AY41" s="23">
        <f>W41*'Eficiencias &amp; Configuración'!B$24</f>
        <v>0</v>
      </c>
      <c r="AZ41" s="4">
        <f>(W41/5)*'Eficiencias &amp; Configuración'!B$25</f>
        <v>0</v>
      </c>
      <c r="BA41" s="5">
        <f t="shared" si="39"/>
        <v>0</v>
      </c>
      <c r="BB41" s="4">
        <f t="shared" si="40"/>
        <v>0</v>
      </c>
      <c r="BC41" s="4">
        <f t="shared" si="47"/>
        <v>0</v>
      </c>
      <c r="BD41" s="4">
        <f t="shared" si="41"/>
        <v>0</v>
      </c>
      <c r="BE41" s="5">
        <f t="shared" si="42"/>
        <v>0</v>
      </c>
      <c r="BF41" s="5">
        <f t="shared" si="43"/>
        <v>0</v>
      </c>
      <c r="BG41" s="5" t="e">
        <f t="shared" si="48"/>
        <v>#DIV/0!</v>
      </c>
      <c r="BH41" s="4">
        <f t="shared" si="49"/>
        <v>0</v>
      </c>
      <c r="BI41" s="4" t="e">
        <f t="shared" si="44"/>
        <v>#DIV/0!</v>
      </c>
    </row>
    <row r="42" spans="1:61" x14ac:dyDescent="0.25">
      <c r="A42" t="str">
        <f>Datos!A43</f>
        <v>Lote 39</v>
      </c>
      <c r="B42" s="6">
        <f>Datos!B43</f>
        <v>0</v>
      </c>
      <c r="C42">
        <f>_xlfn.XLOOKUP(UM,Hoja1!A$2:A$7,Hoja1!B$2:B$7)*B42</f>
        <v>0</v>
      </c>
      <c r="D42" s="9">
        <f>IFERROR((Metros2*Datos!B43/(Datos!D43*Datos!C43)),0)</f>
        <v>0</v>
      </c>
      <c r="E42" s="6">
        <f t="shared" si="15"/>
        <v>0</v>
      </c>
      <c r="F42" s="12">
        <f t="shared" si="16"/>
        <v>0</v>
      </c>
      <c r="G42" s="6">
        <f t="shared" si="17"/>
        <v>0</v>
      </c>
      <c r="H42">
        <f t="shared" si="18"/>
        <v>0</v>
      </c>
      <c r="I42">
        <f t="shared" si="19"/>
        <v>0</v>
      </c>
      <c r="J42">
        <f t="shared" si="20"/>
        <v>0</v>
      </c>
      <c r="K42" s="9">
        <f>IF(Ciclo="_3_años",
IF(Datos!F43="Por_Surcos",
IF(Datos!G43&gt;=1,D42/3,0),
IF(Datos!F43="En_Bloque",
IF(Datos!G43=1,D42,0),
0)),0)</f>
        <v>0</v>
      </c>
      <c r="L42" s="17">
        <f>IF(Ciclo="_3_años",
IF(Datos!F43="Por_Surcos",
IF(Datos!G43&gt;=2,D42/3,0),
IF(Datos!F43="En_Bloque",
IF(Datos!G43=2,D42,0),
0)),0)</f>
        <v>0</v>
      </c>
      <c r="M42" s="9">
        <f>IF(Ciclo="_3_años",
IF(Datos!F43="Por_Surcos",
IF(Datos!G43&gt;=3,D42/3,0),
IF(Datos!F43="En_Bloque",
IF(Datos!G43=3,D42,0),
0)),0)</f>
        <v>0</v>
      </c>
      <c r="N42" s="9">
        <f>IF(Ciclo="_4_años",
IF(Datos!F43="Por_Surcos",
IF(Datos!G43&gt;=1,D42/4,0),
IF(Datos!F43="En_Bloque",
IF(Datos!G43=1,D42,0),
0)),0)</f>
        <v>0</v>
      </c>
      <c r="O42" s="9">
        <f>IF(Ciclo="_4_años",
IF(Datos!F43="Por_Surcos",
IF(Datos!G43&gt;=2,D42/4,0),
IF(Datos!F43="En_Bloque",
IF(Datos!G43=2,D42,0),
0)),0)</f>
        <v>0</v>
      </c>
      <c r="P42" s="9">
        <f>IF(Ciclo="_4_años",
IF(Datos!F43="Por_Surcos",
IF(Datos!G43&gt;=3,D42/4,0),
IF(Datos!F43="En_Bloque",
IF(Datos!G43=3,D42,0),
0)),0)</f>
        <v>0</v>
      </c>
      <c r="Q42" s="9">
        <f>IF(Ciclo="_4_años",
IF(Datos!F43="Por_Surcos",
IF(Datos!G43&gt;=4,D42/4,0),
IF(Datos!F43="En_Bloque",
IF(Datos!G43=4,D42,0),
0)),0)</f>
        <v>0</v>
      </c>
      <c r="R42" s="9">
        <f>IF(Ciclo="_5_años",
IF(Datos!F43="Por_Surcos",
IF(Datos!G43&gt;=1,D42/5,0),
IF(Datos!F43="En_Bloque",
IF(Datos!G43=1,D42,0),
0)),0)</f>
        <v>0</v>
      </c>
      <c r="S42" s="9">
        <f>IF(Ciclo="_5_años",
IF(Datos!F43="Por_Surcos",
IF(Datos!G43&gt;=2,D42/5,0),
IF(Datos!F43="En_Bloque",
IF(Datos!G43=2,D42,0),
0)),0)</f>
        <v>0</v>
      </c>
      <c r="T42" s="9">
        <f>IF(Ciclo="_5_años",
IF(Datos!F43="Por_Surcos",
IF(Datos!G43&gt;=3,D42/5,0),
IF(Datos!F43="En_Bloque",
IF(Datos!G43=3,D42,0),
0)),0)</f>
        <v>0</v>
      </c>
      <c r="U42" s="9">
        <f>IF(Ciclo="_5_años",
IF(Datos!F43="Por_Surcos",
IF(Datos!G43&gt;=4,D42/5,0),
IF(Datos!F43="En_Bloque",
IF(Datos!G43=4,D42,0),
0)),0)</f>
        <v>0</v>
      </c>
      <c r="V42" s="9">
        <f>IF(Ciclo="_5_años",
IF(Datos!F43="Por_Surcos",
IF(Datos!G43&gt;=5,D42/5,0),
IF(Datos!F43="En_Bloque",
IF(Datos!G43=5,D42,0),
0)),0)</f>
        <v>0</v>
      </c>
      <c r="W42" s="9">
        <f>(((L42*4.5)+(M42*12)+(O42*0.5)+(P42*4)+(Q42*8.5)+(S42*0.5)+(T42*4)+(U42*8.5)+(V42*6))*Datos!E43)/100</f>
        <v>0</v>
      </c>
      <c r="X42" s="6">
        <f t="shared" si="21"/>
        <v>0</v>
      </c>
      <c r="Y42" s="9">
        <f t="shared" si="45"/>
        <v>0</v>
      </c>
      <c r="Z42" s="9">
        <f t="shared" si="22"/>
        <v>0</v>
      </c>
      <c r="AA42" s="6">
        <f t="shared" si="23"/>
        <v>0</v>
      </c>
      <c r="AB42" s="9">
        <f t="shared" si="24"/>
        <v>0</v>
      </c>
      <c r="AC42" s="6">
        <f t="shared" si="25"/>
        <v>0</v>
      </c>
      <c r="AD42" s="6">
        <f t="shared" si="26"/>
        <v>0</v>
      </c>
      <c r="AE42" s="5">
        <f t="shared" si="27"/>
        <v>0</v>
      </c>
      <c r="AF42" s="5">
        <f>IF(Datos!F43="En_Bloque",0,IF(Datos!F43="Por_Surcos",IF(Datos!G43=1,E42/Plantas_Paliativa_Por_Dia,0),0))</f>
        <v>0</v>
      </c>
      <c r="AG42" s="5">
        <f t="shared" si="28"/>
        <v>0</v>
      </c>
      <c r="AH42" s="5">
        <f t="shared" si="29"/>
        <v>0</v>
      </c>
      <c r="AI42" s="5">
        <f t="shared" si="30"/>
        <v>0</v>
      </c>
      <c r="AJ42" s="5">
        <f t="shared" si="31"/>
        <v>0</v>
      </c>
      <c r="AK42" s="5">
        <f t="shared" si="32"/>
        <v>0</v>
      </c>
      <c r="AL42" s="5">
        <f t="shared" si="33"/>
        <v>0</v>
      </c>
      <c r="AM42" s="5">
        <f t="shared" si="34"/>
        <v>0</v>
      </c>
      <c r="AN42" s="5">
        <f t="shared" si="35"/>
        <v>0</v>
      </c>
      <c r="AO42" s="5">
        <f t="shared" si="36"/>
        <v>0</v>
      </c>
      <c r="AP42" s="5">
        <f t="shared" si="37"/>
        <v>0</v>
      </c>
      <c r="AQ42" s="5">
        <f t="shared" si="38"/>
        <v>0</v>
      </c>
      <c r="AR42" s="5">
        <f t="shared" si="46"/>
        <v>0</v>
      </c>
      <c r="AS42" s="6">
        <f>'Eficiencias &amp; Configuración'!B$12*Cálculos!C42</f>
        <v>0</v>
      </c>
      <c r="AT42" s="6">
        <f>IFERROR(('Eficiencias &amp; Configuración'!B$15*C42)*'Eficiencias &amp; Configuración'!B$14,0)</f>
        <v>0</v>
      </c>
      <c r="AU42">
        <f>C42*'Eficiencias &amp; Configuración'!B$16</f>
        <v>0</v>
      </c>
      <c r="AV42">
        <f>C42*'Eficiencias &amp; Configuración'!B$19</f>
        <v>0</v>
      </c>
      <c r="AW42">
        <f>(H42*Enfermedades_Crecimiento)*'Eficiencias &amp; Configuración'!B$18</f>
        <v>0</v>
      </c>
      <c r="AX42">
        <f>(I42+J42)*Enfermedades_Producción*'Eficiencias &amp; Configuración'!B$18</f>
        <v>0</v>
      </c>
      <c r="AY42" s="23">
        <f>W42*'Eficiencias &amp; Configuración'!B$24</f>
        <v>0</v>
      </c>
      <c r="AZ42" s="4">
        <f>(W42/5)*'Eficiencias &amp; Configuración'!B$25</f>
        <v>0</v>
      </c>
      <c r="BA42" s="5">
        <f t="shared" si="39"/>
        <v>0</v>
      </c>
      <c r="BB42" s="4">
        <f t="shared" si="40"/>
        <v>0</v>
      </c>
      <c r="BC42" s="4">
        <f t="shared" si="47"/>
        <v>0</v>
      </c>
      <c r="BD42" s="4">
        <f t="shared" si="41"/>
        <v>0</v>
      </c>
      <c r="BE42" s="5">
        <f t="shared" si="42"/>
        <v>0</v>
      </c>
      <c r="BF42" s="5">
        <f t="shared" si="43"/>
        <v>0</v>
      </c>
      <c r="BG42" s="5" t="e">
        <f t="shared" si="48"/>
        <v>#DIV/0!</v>
      </c>
      <c r="BH42" s="4">
        <f t="shared" si="49"/>
        <v>0</v>
      </c>
      <c r="BI42" s="4" t="e">
        <f t="shared" si="44"/>
        <v>#DIV/0!</v>
      </c>
    </row>
    <row r="43" spans="1:61" x14ac:dyDescent="0.25">
      <c r="A43" t="str">
        <f>Datos!A44</f>
        <v>Lote 40</v>
      </c>
      <c r="B43" s="6">
        <f>Datos!B44</f>
        <v>0</v>
      </c>
      <c r="C43">
        <f>_xlfn.XLOOKUP(UM,Hoja1!A$2:A$7,Hoja1!B$2:B$7)*B43</f>
        <v>0</v>
      </c>
      <c r="D43" s="9">
        <f>IFERROR((Metros2*Datos!B44/(Datos!D44*Datos!C44)),0)</f>
        <v>0</v>
      </c>
      <c r="E43" s="6">
        <f t="shared" si="15"/>
        <v>0</v>
      </c>
      <c r="F43" s="12">
        <f t="shared" si="16"/>
        <v>0</v>
      </c>
      <c r="G43" s="6">
        <f t="shared" si="17"/>
        <v>0</v>
      </c>
      <c r="H43">
        <f t="shared" si="18"/>
        <v>0</v>
      </c>
      <c r="I43">
        <f t="shared" si="19"/>
        <v>0</v>
      </c>
      <c r="J43">
        <f t="shared" si="20"/>
        <v>0</v>
      </c>
      <c r="K43" s="9">
        <f>IF(Ciclo="_3_años",
IF(Datos!F44="Por_Surcos",
IF(Datos!G44&gt;=1,D43/3,0),
IF(Datos!F44="En_Bloque",
IF(Datos!G44=1,D43,0),
0)),0)</f>
        <v>0</v>
      </c>
      <c r="L43" s="17">
        <f>IF(Ciclo="_3_años",
IF(Datos!F44="Por_Surcos",
IF(Datos!G44&gt;=2,D43/3,0),
IF(Datos!F44="En_Bloque",
IF(Datos!G44=2,D43,0),
0)),0)</f>
        <v>0</v>
      </c>
      <c r="M43" s="9">
        <f>IF(Ciclo="_3_años",
IF(Datos!F44="Por_Surcos",
IF(Datos!G44&gt;=3,D43/3,0),
IF(Datos!F44="En_Bloque",
IF(Datos!G44=3,D43,0),
0)),0)</f>
        <v>0</v>
      </c>
      <c r="N43" s="9">
        <f>IF(Ciclo="_4_años",
IF(Datos!F44="Por_Surcos",
IF(Datos!G44&gt;=1,D43/4,0),
IF(Datos!F44="En_Bloque",
IF(Datos!G44=1,D43,0),
0)),0)</f>
        <v>0</v>
      </c>
      <c r="O43" s="9">
        <f>IF(Ciclo="_4_años",
IF(Datos!F44="Por_Surcos",
IF(Datos!G44&gt;=2,D43/4,0),
IF(Datos!F44="En_Bloque",
IF(Datos!G44=2,D43,0),
0)),0)</f>
        <v>0</v>
      </c>
      <c r="P43" s="9">
        <f>IF(Ciclo="_4_años",
IF(Datos!F44="Por_Surcos",
IF(Datos!G44&gt;=3,D43/4,0),
IF(Datos!F44="En_Bloque",
IF(Datos!G44=3,D43,0),
0)),0)</f>
        <v>0</v>
      </c>
      <c r="Q43" s="9">
        <f>IF(Ciclo="_4_años",
IF(Datos!F44="Por_Surcos",
IF(Datos!G44&gt;=4,D43/4,0),
IF(Datos!F44="En_Bloque",
IF(Datos!G44=4,D43,0),
0)),0)</f>
        <v>0</v>
      </c>
      <c r="R43" s="9">
        <f>IF(Ciclo="_5_años",
IF(Datos!F44="Por_Surcos",
IF(Datos!G44&gt;=1,D43/5,0),
IF(Datos!F44="En_Bloque",
IF(Datos!G44=1,D43,0),
0)),0)</f>
        <v>0</v>
      </c>
      <c r="S43" s="9">
        <f>IF(Ciclo="_5_años",
IF(Datos!F44="Por_Surcos",
IF(Datos!G44&gt;=2,D43/5,0),
IF(Datos!F44="En_Bloque",
IF(Datos!G44=2,D43,0),
0)),0)</f>
        <v>0</v>
      </c>
      <c r="T43" s="9">
        <f>IF(Ciclo="_5_años",
IF(Datos!F44="Por_Surcos",
IF(Datos!G44&gt;=3,D43/5,0),
IF(Datos!F44="En_Bloque",
IF(Datos!G44=3,D43,0),
0)),0)</f>
        <v>0</v>
      </c>
      <c r="U43" s="9">
        <f>IF(Ciclo="_5_años",
IF(Datos!F44="Por_Surcos",
IF(Datos!G44&gt;=4,D43/5,0),
IF(Datos!F44="En_Bloque",
IF(Datos!G44=4,D43,0),
0)),0)</f>
        <v>0</v>
      </c>
      <c r="V43" s="9">
        <f>IF(Ciclo="_5_años",
IF(Datos!F44="Por_Surcos",
IF(Datos!G44&gt;=5,D43/5,0),
IF(Datos!F44="En_Bloque",
IF(Datos!G44=5,D43,0),
0)),0)</f>
        <v>0</v>
      </c>
      <c r="W43" s="9">
        <f>(((L43*4.5)+(M43*12)+(O43*0.5)+(P43*4)+(Q43*8.5)+(S43*0.5)+(T43*4)+(U43*8.5)+(V43*6))*Datos!E44)/100</f>
        <v>0</v>
      </c>
      <c r="X43" s="6">
        <f t="shared" si="21"/>
        <v>0</v>
      </c>
      <c r="Y43" s="9">
        <f t="shared" si="45"/>
        <v>0</v>
      </c>
      <c r="Z43" s="9">
        <f t="shared" si="22"/>
        <v>0</v>
      </c>
      <c r="AA43" s="6">
        <f t="shared" si="23"/>
        <v>0</v>
      </c>
      <c r="AB43" s="9">
        <f t="shared" si="24"/>
        <v>0</v>
      </c>
      <c r="AC43" s="6">
        <f t="shared" si="25"/>
        <v>0</v>
      </c>
      <c r="AD43" s="6">
        <f t="shared" si="26"/>
        <v>0</v>
      </c>
      <c r="AE43" s="5">
        <f t="shared" si="27"/>
        <v>0</v>
      </c>
      <c r="AF43" s="5">
        <f>IF(Datos!F44="En_Bloque",0,IF(Datos!F44="Por_Surcos",IF(Datos!G44=1,E43/Plantas_Paliativa_Por_Dia,0),0))</f>
        <v>0</v>
      </c>
      <c r="AG43" s="5">
        <f t="shared" si="28"/>
        <v>0</v>
      </c>
      <c r="AH43" s="5">
        <f t="shared" si="29"/>
        <v>0</v>
      </c>
      <c r="AI43" s="5">
        <f t="shared" si="30"/>
        <v>0</v>
      </c>
      <c r="AJ43" s="5">
        <f t="shared" si="31"/>
        <v>0</v>
      </c>
      <c r="AK43" s="5">
        <f t="shared" si="32"/>
        <v>0</v>
      </c>
      <c r="AL43" s="5">
        <f t="shared" si="33"/>
        <v>0</v>
      </c>
      <c r="AM43" s="5">
        <f t="shared" si="34"/>
        <v>0</v>
      </c>
      <c r="AN43" s="5">
        <f t="shared" si="35"/>
        <v>0</v>
      </c>
      <c r="AO43" s="5">
        <f t="shared" si="36"/>
        <v>0</v>
      </c>
      <c r="AP43" s="5">
        <f t="shared" si="37"/>
        <v>0</v>
      </c>
      <c r="AQ43" s="5">
        <f t="shared" si="38"/>
        <v>0</v>
      </c>
      <c r="AR43" s="5">
        <f t="shared" si="46"/>
        <v>0</v>
      </c>
      <c r="AS43" s="6">
        <f>'Eficiencias &amp; Configuración'!B$12*Cálculos!C43</f>
        <v>0</v>
      </c>
      <c r="AT43" s="6">
        <f>IFERROR(('Eficiencias &amp; Configuración'!B$15*C43)*'Eficiencias &amp; Configuración'!B$14,0)</f>
        <v>0</v>
      </c>
      <c r="AU43">
        <f>C43*'Eficiencias &amp; Configuración'!B$16</f>
        <v>0</v>
      </c>
      <c r="AV43">
        <f>C43*'Eficiencias &amp; Configuración'!B$19</f>
        <v>0</v>
      </c>
      <c r="AW43">
        <f>(H43*Enfermedades_Crecimiento)*'Eficiencias &amp; Configuración'!B$18</f>
        <v>0</v>
      </c>
      <c r="AX43">
        <f>(I43+J43)*Enfermedades_Producción*'Eficiencias &amp; Configuración'!B$18</f>
        <v>0</v>
      </c>
      <c r="AY43" s="23">
        <f>W43*'Eficiencias &amp; Configuración'!B$24</f>
        <v>0</v>
      </c>
      <c r="AZ43" s="4">
        <f>(W43/5)*'Eficiencias &amp; Configuración'!B$25</f>
        <v>0</v>
      </c>
      <c r="BA43" s="5">
        <f t="shared" si="39"/>
        <v>0</v>
      </c>
      <c r="BB43" s="4">
        <f t="shared" si="40"/>
        <v>0</v>
      </c>
      <c r="BC43" s="4">
        <f t="shared" si="47"/>
        <v>0</v>
      </c>
      <c r="BD43" s="4">
        <f t="shared" si="41"/>
        <v>0</v>
      </c>
      <c r="BE43" s="5">
        <f t="shared" si="42"/>
        <v>0</v>
      </c>
      <c r="BF43" s="5">
        <f t="shared" si="43"/>
        <v>0</v>
      </c>
      <c r="BG43" s="5" t="e">
        <f t="shared" si="48"/>
        <v>#DIV/0!</v>
      </c>
      <c r="BH43" s="4">
        <f t="shared" si="49"/>
        <v>0</v>
      </c>
      <c r="BI43" s="4" t="e">
        <f t="shared" si="44"/>
        <v>#DIV/0!</v>
      </c>
    </row>
    <row r="44" spans="1:61" x14ac:dyDescent="0.25">
      <c r="A44" t="str">
        <f>Datos!A45</f>
        <v>Lote 41</v>
      </c>
      <c r="B44" s="6">
        <f>Datos!B45</f>
        <v>0</v>
      </c>
      <c r="C44">
        <f>_xlfn.XLOOKUP(UM,Hoja1!A$2:A$7,Hoja1!B$2:B$7)*B44</f>
        <v>0</v>
      </c>
      <c r="D44" s="9">
        <f>IFERROR((Metros2*Datos!B45/(Datos!D45*Datos!C45)),0)</f>
        <v>0</v>
      </c>
      <c r="E44" s="6">
        <f t="shared" si="15"/>
        <v>0</v>
      </c>
      <c r="F44" s="12">
        <f t="shared" si="16"/>
        <v>0</v>
      </c>
      <c r="G44" s="6">
        <f t="shared" si="17"/>
        <v>0</v>
      </c>
      <c r="H44">
        <f t="shared" si="18"/>
        <v>0</v>
      </c>
      <c r="I44">
        <f t="shared" si="19"/>
        <v>0</v>
      </c>
      <c r="J44">
        <f t="shared" si="20"/>
        <v>0</v>
      </c>
      <c r="K44" s="9">
        <f>IF(Ciclo="_3_años",
IF(Datos!F45="Por_Surcos",
IF(Datos!G45&gt;=1,D44/3,0),
IF(Datos!F45="En_Bloque",
IF(Datos!G45=1,D44,0),
0)),0)</f>
        <v>0</v>
      </c>
      <c r="L44" s="17">
        <f>IF(Ciclo="_3_años",
IF(Datos!F45="Por_Surcos",
IF(Datos!G45&gt;=2,D44/3,0),
IF(Datos!F45="En_Bloque",
IF(Datos!G45=2,D44,0),
0)),0)</f>
        <v>0</v>
      </c>
      <c r="M44" s="9">
        <f>IF(Ciclo="_3_años",
IF(Datos!F45="Por_Surcos",
IF(Datos!G45&gt;=3,D44/3,0),
IF(Datos!F45="En_Bloque",
IF(Datos!G45=3,D44,0),
0)),0)</f>
        <v>0</v>
      </c>
      <c r="N44" s="9">
        <f>IF(Ciclo="_4_años",
IF(Datos!F45="Por_Surcos",
IF(Datos!G45&gt;=1,D44/4,0),
IF(Datos!F45="En_Bloque",
IF(Datos!G45=1,D44,0),
0)),0)</f>
        <v>0</v>
      </c>
      <c r="O44" s="9">
        <f>IF(Ciclo="_4_años",
IF(Datos!F45="Por_Surcos",
IF(Datos!G45&gt;=2,D44/4,0),
IF(Datos!F45="En_Bloque",
IF(Datos!G45=2,D44,0),
0)),0)</f>
        <v>0</v>
      </c>
      <c r="P44" s="9">
        <f>IF(Ciclo="_4_años",
IF(Datos!F45="Por_Surcos",
IF(Datos!G45&gt;=3,D44/4,0),
IF(Datos!F45="En_Bloque",
IF(Datos!G45=3,D44,0),
0)),0)</f>
        <v>0</v>
      </c>
      <c r="Q44" s="9">
        <f>IF(Ciclo="_4_años",
IF(Datos!F45="Por_Surcos",
IF(Datos!G45&gt;=4,D44/4,0),
IF(Datos!F45="En_Bloque",
IF(Datos!G45=4,D44,0),
0)),0)</f>
        <v>0</v>
      </c>
      <c r="R44" s="9">
        <f>IF(Ciclo="_5_años",
IF(Datos!F45="Por_Surcos",
IF(Datos!G45&gt;=1,D44/5,0),
IF(Datos!F45="En_Bloque",
IF(Datos!G45=1,D44,0),
0)),0)</f>
        <v>0</v>
      </c>
      <c r="S44" s="9">
        <f>IF(Ciclo="_5_años",
IF(Datos!F45="Por_Surcos",
IF(Datos!G45&gt;=2,D44/5,0),
IF(Datos!F45="En_Bloque",
IF(Datos!G45=2,D44,0),
0)),0)</f>
        <v>0</v>
      </c>
      <c r="T44" s="9">
        <f>IF(Ciclo="_5_años",
IF(Datos!F45="Por_Surcos",
IF(Datos!G45&gt;=3,D44/5,0),
IF(Datos!F45="En_Bloque",
IF(Datos!G45=3,D44,0),
0)),0)</f>
        <v>0</v>
      </c>
      <c r="U44" s="9">
        <f>IF(Ciclo="_5_años",
IF(Datos!F45="Por_Surcos",
IF(Datos!G45&gt;=4,D44/5,0),
IF(Datos!F45="En_Bloque",
IF(Datos!G45=4,D44,0),
0)),0)</f>
        <v>0</v>
      </c>
      <c r="V44" s="9">
        <f>IF(Ciclo="_5_años",
IF(Datos!F45="Por_Surcos",
IF(Datos!G45&gt;=5,D44/5,0),
IF(Datos!F45="En_Bloque",
IF(Datos!G45=5,D44,0),
0)),0)</f>
        <v>0</v>
      </c>
      <c r="W44" s="9">
        <f>(((L44*4.5)+(M44*12)+(O44*0.5)+(P44*4)+(Q44*8.5)+(S44*0.5)+(T44*4)+(U44*8.5)+(V44*6))*Datos!E45)/100</f>
        <v>0</v>
      </c>
      <c r="X44" s="6">
        <f t="shared" si="21"/>
        <v>0</v>
      </c>
      <c r="Y44" s="9">
        <f t="shared" si="45"/>
        <v>0</v>
      </c>
      <c r="Z44" s="9">
        <f t="shared" si="22"/>
        <v>0</v>
      </c>
      <c r="AA44" s="6">
        <f t="shared" si="23"/>
        <v>0</v>
      </c>
      <c r="AB44" s="9">
        <f t="shared" si="24"/>
        <v>0</v>
      </c>
      <c r="AC44" s="6">
        <f t="shared" si="25"/>
        <v>0</v>
      </c>
      <c r="AD44" s="6">
        <f t="shared" si="26"/>
        <v>0</v>
      </c>
      <c r="AE44" s="5">
        <f t="shared" si="27"/>
        <v>0</v>
      </c>
      <c r="AF44" s="5">
        <f>IF(Datos!F45="En_Bloque",0,IF(Datos!F45="Por_Surcos",IF(Datos!G45=1,E44/Plantas_Paliativa_Por_Dia,0),0))</f>
        <v>0</v>
      </c>
      <c r="AG44" s="5">
        <f t="shared" si="28"/>
        <v>0</v>
      </c>
      <c r="AH44" s="5">
        <f t="shared" si="29"/>
        <v>0</v>
      </c>
      <c r="AI44" s="5">
        <f t="shared" si="30"/>
        <v>0</v>
      </c>
      <c r="AJ44" s="5">
        <f t="shared" si="31"/>
        <v>0</v>
      </c>
      <c r="AK44" s="5">
        <f t="shared" si="32"/>
        <v>0</v>
      </c>
      <c r="AL44" s="5">
        <f t="shared" si="33"/>
        <v>0</v>
      </c>
      <c r="AM44" s="5">
        <f t="shared" si="34"/>
        <v>0</v>
      </c>
      <c r="AN44" s="5">
        <f t="shared" si="35"/>
        <v>0</v>
      </c>
      <c r="AO44" s="5">
        <f t="shared" si="36"/>
        <v>0</v>
      </c>
      <c r="AP44" s="5">
        <f t="shared" si="37"/>
        <v>0</v>
      </c>
      <c r="AQ44" s="5">
        <f t="shared" si="38"/>
        <v>0</v>
      </c>
      <c r="AR44" s="5">
        <f t="shared" si="46"/>
        <v>0</v>
      </c>
      <c r="AS44" s="6">
        <f>'Eficiencias &amp; Configuración'!B$12*Cálculos!C44</f>
        <v>0</v>
      </c>
      <c r="AT44" s="6">
        <f>IFERROR(('Eficiencias &amp; Configuración'!B$15*C44)*'Eficiencias &amp; Configuración'!B$14,0)</f>
        <v>0</v>
      </c>
      <c r="AU44">
        <f>C44*'Eficiencias &amp; Configuración'!B$16</f>
        <v>0</v>
      </c>
      <c r="AV44">
        <f>C44*'Eficiencias &amp; Configuración'!B$19</f>
        <v>0</v>
      </c>
      <c r="AW44">
        <f>(H44*Enfermedades_Crecimiento)*'Eficiencias &amp; Configuración'!B$18</f>
        <v>0</v>
      </c>
      <c r="AX44">
        <f>(I44+J44)*Enfermedades_Producción*'Eficiencias &amp; Configuración'!B$18</f>
        <v>0</v>
      </c>
      <c r="AY44" s="23">
        <f>W44*'Eficiencias &amp; Configuración'!B$24</f>
        <v>0</v>
      </c>
      <c r="AZ44" s="4">
        <f>(W44/5)*'Eficiencias &amp; Configuración'!B$25</f>
        <v>0</v>
      </c>
      <c r="BA44" s="5">
        <f t="shared" si="39"/>
        <v>0</v>
      </c>
      <c r="BB44" s="4">
        <f t="shared" si="40"/>
        <v>0</v>
      </c>
      <c r="BC44" s="4">
        <f t="shared" si="47"/>
        <v>0</v>
      </c>
      <c r="BD44" s="4">
        <f t="shared" si="41"/>
        <v>0</v>
      </c>
      <c r="BE44" s="5">
        <f t="shared" si="42"/>
        <v>0</v>
      </c>
      <c r="BF44" s="5">
        <f t="shared" si="43"/>
        <v>0</v>
      </c>
      <c r="BG44" s="5" t="e">
        <f t="shared" si="48"/>
        <v>#DIV/0!</v>
      </c>
      <c r="BH44" s="4">
        <f t="shared" si="49"/>
        <v>0</v>
      </c>
      <c r="BI44" s="4" t="e">
        <f t="shared" si="44"/>
        <v>#DIV/0!</v>
      </c>
    </row>
    <row r="45" spans="1:61" x14ac:dyDescent="0.25">
      <c r="A45" t="str">
        <f>Datos!A46</f>
        <v>Lote 42</v>
      </c>
      <c r="B45" s="6">
        <f>Datos!B46</f>
        <v>0</v>
      </c>
      <c r="C45">
        <f>_xlfn.XLOOKUP(UM,Hoja1!A$2:A$7,Hoja1!B$2:B$7)*B45</f>
        <v>0</v>
      </c>
      <c r="D45" s="9">
        <f>IFERROR((Metros2*Datos!B46/(Datos!D46*Datos!C46)),0)</f>
        <v>0</v>
      </c>
      <c r="E45" s="6">
        <f t="shared" si="15"/>
        <v>0</v>
      </c>
      <c r="F45" s="12">
        <f t="shared" si="16"/>
        <v>0</v>
      </c>
      <c r="G45" s="6">
        <f t="shared" si="17"/>
        <v>0</v>
      </c>
      <c r="H45">
        <f t="shared" si="18"/>
        <v>0</v>
      </c>
      <c r="I45">
        <f t="shared" si="19"/>
        <v>0</v>
      </c>
      <c r="J45">
        <f t="shared" si="20"/>
        <v>0</v>
      </c>
      <c r="K45" s="9">
        <f>IF(Ciclo="_3_años",
IF(Datos!F46="Por_Surcos",
IF(Datos!G46&gt;=1,D45/3,0),
IF(Datos!F46="En_Bloque",
IF(Datos!G46=1,D45,0),
0)),0)</f>
        <v>0</v>
      </c>
      <c r="L45" s="17">
        <f>IF(Ciclo="_3_años",
IF(Datos!F46="Por_Surcos",
IF(Datos!G46&gt;=2,D45/3,0),
IF(Datos!F46="En_Bloque",
IF(Datos!G46=2,D45,0),
0)),0)</f>
        <v>0</v>
      </c>
      <c r="M45" s="9">
        <f>IF(Ciclo="_3_años",
IF(Datos!F46="Por_Surcos",
IF(Datos!G46&gt;=3,D45/3,0),
IF(Datos!F46="En_Bloque",
IF(Datos!G46=3,D45,0),
0)),0)</f>
        <v>0</v>
      </c>
      <c r="N45" s="9">
        <f>IF(Ciclo="_4_años",
IF(Datos!F46="Por_Surcos",
IF(Datos!G46&gt;=1,D45/4,0),
IF(Datos!F46="En_Bloque",
IF(Datos!G46=1,D45,0),
0)),0)</f>
        <v>0</v>
      </c>
      <c r="O45" s="9">
        <f>IF(Ciclo="_4_años",
IF(Datos!F46="Por_Surcos",
IF(Datos!G46&gt;=2,D45/4,0),
IF(Datos!F46="En_Bloque",
IF(Datos!G46=2,D45,0),
0)),0)</f>
        <v>0</v>
      </c>
      <c r="P45" s="9">
        <f>IF(Ciclo="_4_años",
IF(Datos!F46="Por_Surcos",
IF(Datos!G46&gt;=3,D45/4,0),
IF(Datos!F46="En_Bloque",
IF(Datos!G46=3,D45,0),
0)),0)</f>
        <v>0</v>
      </c>
      <c r="Q45" s="9">
        <f>IF(Ciclo="_4_años",
IF(Datos!F46="Por_Surcos",
IF(Datos!G46&gt;=4,D45/4,0),
IF(Datos!F46="En_Bloque",
IF(Datos!G46=4,D45,0),
0)),0)</f>
        <v>0</v>
      </c>
      <c r="R45" s="9">
        <f>IF(Ciclo="_5_años",
IF(Datos!F46="Por_Surcos",
IF(Datos!G46&gt;=1,D45/5,0),
IF(Datos!F46="En_Bloque",
IF(Datos!G46=1,D45,0),
0)),0)</f>
        <v>0</v>
      </c>
      <c r="S45" s="9">
        <f>IF(Ciclo="_5_años",
IF(Datos!F46="Por_Surcos",
IF(Datos!G46&gt;=2,D45/5,0),
IF(Datos!F46="En_Bloque",
IF(Datos!G46=2,D45,0),
0)),0)</f>
        <v>0</v>
      </c>
      <c r="T45" s="9">
        <f>IF(Ciclo="_5_años",
IF(Datos!F46="Por_Surcos",
IF(Datos!G46&gt;=3,D45/5,0),
IF(Datos!F46="En_Bloque",
IF(Datos!G46=3,D45,0),
0)),0)</f>
        <v>0</v>
      </c>
      <c r="U45" s="9">
        <f>IF(Ciclo="_5_años",
IF(Datos!F46="Por_Surcos",
IF(Datos!G46&gt;=4,D45/5,0),
IF(Datos!F46="En_Bloque",
IF(Datos!G46=4,D45,0),
0)),0)</f>
        <v>0</v>
      </c>
      <c r="V45" s="9">
        <f>IF(Ciclo="_5_años",
IF(Datos!F46="Por_Surcos",
IF(Datos!G46&gt;=5,D45/5,0),
IF(Datos!F46="En_Bloque",
IF(Datos!G46=5,D45,0),
0)),0)</f>
        <v>0</v>
      </c>
      <c r="W45" s="9">
        <f>(((L45*4.5)+(M45*12)+(O45*0.5)+(P45*4)+(Q45*8.5)+(S45*0.5)+(T45*4)+(U45*8.5)+(V45*6))*Datos!E46)/100</f>
        <v>0</v>
      </c>
      <c r="X45" s="6">
        <f t="shared" si="21"/>
        <v>0</v>
      </c>
      <c r="Y45" s="9">
        <f t="shared" si="45"/>
        <v>0</v>
      </c>
      <c r="Z45" s="9">
        <f t="shared" si="22"/>
        <v>0</v>
      </c>
      <c r="AA45" s="6">
        <f t="shared" si="23"/>
        <v>0</v>
      </c>
      <c r="AB45" s="9">
        <f t="shared" si="24"/>
        <v>0</v>
      </c>
      <c r="AC45" s="6">
        <f t="shared" si="25"/>
        <v>0</v>
      </c>
      <c r="AD45" s="6">
        <f t="shared" si="26"/>
        <v>0</v>
      </c>
      <c r="AE45" s="5">
        <f t="shared" si="27"/>
        <v>0</v>
      </c>
      <c r="AF45" s="5">
        <f>IF(Datos!F46="En_Bloque",0,IF(Datos!F46="Por_Surcos",IF(Datos!G46=1,E45/Plantas_Paliativa_Por_Dia,0),0))</f>
        <v>0</v>
      </c>
      <c r="AG45" s="5">
        <f t="shared" si="28"/>
        <v>0</v>
      </c>
      <c r="AH45" s="5">
        <f t="shared" si="29"/>
        <v>0</v>
      </c>
      <c r="AI45" s="5">
        <f t="shared" si="30"/>
        <v>0</v>
      </c>
      <c r="AJ45" s="5">
        <f t="shared" si="31"/>
        <v>0</v>
      </c>
      <c r="AK45" s="5">
        <f t="shared" si="32"/>
        <v>0</v>
      </c>
      <c r="AL45" s="5">
        <f t="shared" si="33"/>
        <v>0</v>
      </c>
      <c r="AM45" s="5">
        <f t="shared" si="34"/>
        <v>0</v>
      </c>
      <c r="AN45" s="5">
        <f t="shared" si="35"/>
        <v>0</v>
      </c>
      <c r="AO45" s="5">
        <f t="shared" si="36"/>
        <v>0</v>
      </c>
      <c r="AP45" s="5">
        <f t="shared" si="37"/>
        <v>0</v>
      </c>
      <c r="AQ45" s="5">
        <f t="shared" si="38"/>
        <v>0</v>
      </c>
      <c r="AR45" s="5">
        <f t="shared" si="46"/>
        <v>0</v>
      </c>
      <c r="AS45" s="6">
        <f>'Eficiencias &amp; Configuración'!B$12*Cálculos!C45</f>
        <v>0</v>
      </c>
      <c r="AT45" s="6">
        <f>IFERROR(('Eficiencias &amp; Configuración'!B$15*C45)*'Eficiencias &amp; Configuración'!B$14,0)</f>
        <v>0</v>
      </c>
      <c r="AU45">
        <f>C45*'Eficiencias &amp; Configuración'!B$16</f>
        <v>0</v>
      </c>
      <c r="AV45">
        <f>C45*'Eficiencias &amp; Configuración'!B$19</f>
        <v>0</v>
      </c>
      <c r="AW45">
        <f>(H45*Enfermedades_Crecimiento)*'Eficiencias &amp; Configuración'!B$18</f>
        <v>0</v>
      </c>
      <c r="AX45">
        <f>(I45+J45)*Enfermedades_Producción*'Eficiencias &amp; Configuración'!B$18</f>
        <v>0</v>
      </c>
      <c r="AY45" s="23">
        <f>W45*'Eficiencias &amp; Configuración'!B$24</f>
        <v>0</v>
      </c>
      <c r="AZ45" s="4">
        <f>(W45/5)*'Eficiencias &amp; Configuración'!B$25</f>
        <v>0</v>
      </c>
      <c r="BA45" s="5">
        <f t="shared" si="39"/>
        <v>0</v>
      </c>
      <c r="BB45" s="4">
        <f t="shared" si="40"/>
        <v>0</v>
      </c>
      <c r="BC45" s="4">
        <f t="shared" si="47"/>
        <v>0</v>
      </c>
      <c r="BD45" s="4">
        <f t="shared" si="41"/>
        <v>0</v>
      </c>
      <c r="BE45" s="5">
        <f t="shared" si="42"/>
        <v>0</v>
      </c>
      <c r="BF45" s="5">
        <f t="shared" si="43"/>
        <v>0</v>
      </c>
      <c r="BG45" s="5" t="e">
        <f t="shared" si="48"/>
        <v>#DIV/0!</v>
      </c>
      <c r="BH45" s="4">
        <f t="shared" si="49"/>
        <v>0</v>
      </c>
      <c r="BI45" s="4" t="e">
        <f t="shared" si="44"/>
        <v>#DIV/0!</v>
      </c>
    </row>
    <row r="46" spans="1:61" x14ac:dyDescent="0.25">
      <c r="A46" t="str">
        <f>Datos!A47</f>
        <v>Lote 43</v>
      </c>
      <c r="B46" s="6">
        <f>Datos!B47</f>
        <v>0</v>
      </c>
      <c r="C46">
        <f>_xlfn.XLOOKUP(UM,Hoja1!A$2:A$7,Hoja1!B$2:B$7)*B46</f>
        <v>0</v>
      </c>
      <c r="D46" s="9">
        <f>IFERROR((Metros2*Datos!B47/(Datos!D47*Datos!C47)),0)</f>
        <v>0</v>
      </c>
      <c r="E46" s="6">
        <f t="shared" si="15"/>
        <v>0</v>
      </c>
      <c r="F46" s="12">
        <f t="shared" si="16"/>
        <v>0</v>
      </c>
      <c r="G46" s="6">
        <f t="shared" si="17"/>
        <v>0</v>
      </c>
      <c r="H46">
        <f t="shared" si="18"/>
        <v>0</v>
      </c>
      <c r="I46">
        <f t="shared" si="19"/>
        <v>0</v>
      </c>
      <c r="J46">
        <f t="shared" si="20"/>
        <v>0</v>
      </c>
      <c r="K46" s="9">
        <f>IF(Ciclo="_3_años",
IF(Datos!F47="Por_Surcos",
IF(Datos!G47&gt;=1,D46/3,0),
IF(Datos!F47="En_Bloque",
IF(Datos!G47=1,D46,0),
0)),0)</f>
        <v>0</v>
      </c>
      <c r="L46" s="17">
        <f>IF(Ciclo="_3_años",
IF(Datos!F47="Por_Surcos",
IF(Datos!G47&gt;=2,D46/3,0),
IF(Datos!F47="En_Bloque",
IF(Datos!G47=2,D46,0),
0)),0)</f>
        <v>0</v>
      </c>
      <c r="M46" s="9">
        <f>IF(Ciclo="_3_años",
IF(Datos!F47="Por_Surcos",
IF(Datos!G47&gt;=3,D46/3,0),
IF(Datos!F47="En_Bloque",
IF(Datos!G47=3,D46,0),
0)),0)</f>
        <v>0</v>
      </c>
      <c r="N46" s="9">
        <f>IF(Ciclo="_4_años",
IF(Datos!F47="Por_Surcos",
IF(Datos!G47&gt;=1,D46/4,0),
IF(Datos!F47="En_Bloque",
IF(Datos!G47=1,D46,0),
0)),0)</f>
        <v>0</v>
      </c>
      <c r="O46" s="9">
        <f>IF(Ciclo="_4_años",
IF(Datos!F47="Por_Surcos",
IF(Datos!G47&gt;=2,D46/4,0),
IF(Datos!F47="En_Bloque",
IF(Datos!G47=2,D46,0),
0)),0)</f>
        <v>0</v>
      </c>
      <c r="P46" s="9">
        <f>IF(Ciclo="_4_años",
IF(Datos!F47="Por_Surcos",
IF(Datos!G47&gt;=3,D46/4,0),
IF(Datos!F47="En_Bloque",
IF(Datos!G47=3,D46,0),
0)),0)</f>
        <v>0</v>
      </c>
      <c r="Q46" s="9">
        <f>IF(Ciclo="_4_años",
IF(Datos!F47="Por_Surcos",
IF(Datos!G47&gt;=4,D46/4,0),
IF(Datos!F47="En_Bloque",
IF(Datos!G47=4,D46,0),
0)),0)</f>
        <v>0</v>
      </c>
      <c r="R46" s="9">
        <f>IF(Ciclo="_5_años",
IF(Datos!F47="Por_Surcos",
IF(Datos!G47&gt;=1,D46/5,0),
IF(Datos!F47="En_Bloque",
IF(Datos!G47=1,D46,0),
0)),0)</f>
        <v>0</v>
      </c>
      <c r="S46" s="9">
        <f>IF(Ciclo="_5_años",
IF(Datos!F47="Por_Surcos",
IF(Datos!G47&gt;=2,D46/5,0),
IF(Datos!F47="En_Bloque",
IF(Datos!G47=2,D46,0),
0)),0)</f>
        <v>0</v>
      </c>
      <c r="T46" s="9">
        <f>IF(Ciclo="_5_años",
IF(Datos!F47="Por_Surcos",
IF(Datos!G47&gt;=3,D46/5,0),
IF(Datos!F47="En_Bloque",
IF(Datos!G47=3,D46,0),
0)),0)</f>
        <v>0</v>
      </c>
      <c r="U46" s="9">
        <f>IF(Ciclo="_5_años",
IF(Datos!F47="Por_Surcos",
IF(Datos!G47&gt;=4,D46/5,0),
IF(Datos!F47="En_Bloque",
IF(Datos!G47=4,D46,0),
0)),0)</f>
        <v>0</v>
      </c>
      <c r="V46" s="9">
        <f>IF(Ciclo="_5_años",
IF(Datos!F47="Por_Surcos",
IF(Datos!G47&gt;=5,D46/5,0),
IF(Datos!F47="En_Bloque",
IF(Datos!G47=5,D46,0),
0)),0)</f>
        <v>0</v>
      </c>
      <c r="W46" s="9">
        <f>(((L46*4.5)+(M46*12)+(O46*0.5)+(P46*4)+(Q46*8.5)+(S46*0.5)+(T46*4)+(U46*8.5)+(V46*6))*Datos!E47)/100</f>
        <v>0</v>
      </c>
      <c r="X46" s="6">
        <f t="shared" si="21"/>
        <v>0</v>
      </c>
      <c r="Y46" s="9">
        <f t="shared" si="45"/>
        <v>0</v>
      </c>
      <c r="Z46" s="9">
        <f t="shared" si="22"/>
        <v>0</v>
      </c>
      <c r="AA46" s="6">
        <f t="shared" si="23"/>
        <v>0</v>
      </c>
      <c r="AB46" s="9">
        <f t="shared" si="24"/>
        <v>0</v>
      </c>
      <c r="AC46" s="6">
        <f t="shared" si="25"/>
        <v>0</v>
      </c>
      <c r="AD46" s="6">
        <f t="shared" si="26"/>
        <v>0</v>
      </c>
      <c r="AE46" s="5">
        <f t="shared" si="27"/>
        <v>0</v>
      </c>
      <c r="AF46" s="5">
        <f>IF(Datos!F47="En_Bloque",0,IF(Datos!F47="Por_Surcos",IF(Datos!G47=1,E46/Plantas_Paliativa_Por_Dia,0),0))</f>
        <v>0</v>
      </c>
      <c r="AG46" s="5">
        <f t="shared" si="28"/>
        <v>0</v>
      </c>
      <c r="AH46" s="5">
        <f t="shared" si="29"/>
        <v>0</v>
      </c>
      <c r="AI46" s="5">
        <f t="shared" si="30"/>
        <v>0</v>
      </c>
      <c r="AJ46" s="5">
        <f t="shared" si="31"/>
        <v>0</v>
      </c>
      <c r="AK46" s="5">
        <f t="shared" si="32"/>
        <v>0</v>
      </c>
      <c r="AL46" s="5">
        <f t="shared" si="33"/>
        <v>0</v>
      </c>
      <c r="AM46" s="5">
        <f t="shared" si="34"/>
        <v>0</v>
      </c>
      <c r="AN46" s="5">
        <f t="shared" si="35"/>
        <v>0</v>
      </c>
      <c r="AO46" s="5">
        <f t="shared" si="36"/>
        <v>0</v>
      </c>
      <c r="AP46" s="5">
        <f t="shared" si="37"/>
        <v>0</v>
      </c>
      <c r="AQ46" s="5">
        <f t="shared" si="38"/>
        <v>0</v>
      </c>
      <c r="AR46" s="5">
        <f t="shared" si="46"/>
        <v>0</v>
      </c>
      <c r="AS46" s="6">
        <f>'Eficiencias &amp; Configuración'!B$12*Cálculos!C46</f>
        <v>0</v>
      </c>
      <c r="AT46" s="6">
        <f>IFERROR(('Eficiencias &amp; Configuración'!B$15*C46)*'Eficiencias &amp; Configuración'!B$14,0)</f>
        <v>0</v>
      </c>
      <c r="AU46">
        <f>C46*'Eficiencias &amp; Configuración'!B$16</f>
        <v>0</v>
      </c>
      <c r="AV46">
        <f>C46*'Eficiencias &amp; Configuración'!B$19</f>
        <v>0</v>
      </c>
      <c r="AW46">
        <f>(H46*Enfermedades_Crecimiento)*'Eficiencias &amp; Configuración'!B$18</f>
        <v>0</v>
      </c>
      <c r="AX46">
        <f>(I46+J46)*Enfermedades_Producción*'Eficiencias &amp; Configuración'!B$18</f>
        <v>0</v>
      </c>
      <c r="AY46" s="23">
        <f>W46*'Eficiencias &amp; Configuración'!B$24</f>
        <v>0</v>
      </c>
      <c r="AZ46" s="4">
        <f>(W46/5)*'Eficiencias &amp; Configuración'!B$25</f>
        <v>0</v>
      </c>
      <c r="BA46" s="5">
        <f t="shared" si="39"/>
        <v>0</v>
      </c>
      <c r="BB46" s="4">
        <f t="shared" si="40"/>
        <v>0</v>
      </c>
      <c r="BC46" s="4">
        <f t="shared" si="47"/>
        <v>0</v>
      </c>
      <c r="BD46" s="4">
        <f t="shared" si="41"/>
        <v>0</v>
      </c>
      <c r="BE46" s="5">
        <f t="shared" si="42"/>
        <v>0</v>
      </c>
      <c r="BF46" s="5">
        <f t="shared" si="43"/>
        <v>0</v>
      </c>
      <c r="BG46" s="5" t="e">
        <f t="shared" si="48"/>
        <v>#DIV/0!</v>
      </c>
      <c r="BH46" s="4">
        <f t="shared" si="49"/>
        <v>0</v>
      </c>
      <c r="BI46" s="4" t="e">
        <f t="shared" si="44"/>
        <v>#DIV/0!</v>
      </c>
    </row>
    <row r="47" spans="1:61" x14ac:dyDescent="0.25">
      <c r="A47" t="str">
        <f>Datos!A48</f>
        <v>Lote 44</v>
      </c>
      <c r="B47" s="6">
        <f>Datos!B48</f>
        <v>0</v>
      </c>
      <c r="C47">
        <f>_xlfn.XLOOKUP(UM,Hoja1!A$2:A$7,Hoja1!B$2:B$7)*B47</f>
        <v>0</v>
      </c>
      <c r="D47" s="9">
        <f>IFERROR((Metros2*Datos!B48/(Datos!D48*Datos!C48)),0)</f>
        <v>0</v>
      </c>
      <c r="E47" s="6">
        <f t="shared" si="15"/>
        <v>0</v>
      </c>
      <c r="F47" s="12">
        <f t="shared" si="16"/>
        <v>0</v>
      </c>
      <c r="G47" s="6">
        <f t="shared" si="17"/>
        <v>0</v>
      </c>
      <c r="H47">
        <f t="shared" si="18"/>
        <v>0</v>
      </c>
      <c r="I47">
        <f t="shared" si="19"/>
        <v>0</v>
      </c>
      <c r="J47">
        <f t="shared" si="20"/>
        <v>0</v>
      </c>
      <c r="K47" s="9">
        <f>IF(Ciclo="_3_años",
IF(Datos!F48="Por_Surcos",
IF(Datos!G48&gt;=1,D47/3,0),
IF(Datos!F48="En_Bloque",
IF(Datos!G48=1,D47,0),
0)),0)</f>
        <v>0</v>
      </c>
      <c r="L47" s="17">
        <f>IF(Ciclo="_3_años",
IF(Datos!F48="Por_Surcos",
IF(Datos!G48&gt;=2,D47/3,0),
IF(Datos!F48="En_Bloque",
IF(Datos!G48=2,D47,0),
0)),0)</f>
        <v>0</v>
      </c>
      <c r="M47" s="9">
        <f>IF(Ciclo="_3_años",
IF(Datos!F48="Por_Surcos",
IF(Datos!G48&gt;=3,D47/3,0),
IF(Datos!F48="En_Bloque",
IF(Datos!G48=3,D47,0),
0)),0)</f>
        <v>0</v>
      </c>
      <c r="N47" s="9">
        <f>IF(Ciclo="_4_años",
IF(Datos!F48="Por_Surcos",
IF(Datos!G48&gt;=1,D47/4,0),
IF(Datos!F48="En_Bloque",
IF(Datos!G48=1,D47,0),
0)),0)</f>
        <v>0</v>
      </c>
      <c r="O47" s="9">
        <f>IF(Ciclo="_4_años",
IF(Datos!F48="Por_Surcos",
IF(Datos!G48&gt;=2,D47/4,0),
IF(Datos!F48="En_Bloque",
IF(Datos!G48=2,D47,0),
0)),0)</f>
        <v>0</v>
      </c>
      <c r="P47" s="9">
        <f>IF(Ciclo="_4_años",
IF(Datos!F48="Por_Surcos",
IF(Datos!G48&gt;=3,D47/4,0),
IF(Datos!F48="En_Bloque",
IF(Datos!G48=3,D47,0),
0)),0)</f>
        <v>0</v>
      </c>
      <c r="Q47" s="9">
        <f>IF(Ciclo="_4_años",
IF(Datos!F48="Por_Surcos",
IF(Datos!G48&gt;=4,D47/4,0),
IF(Datos!F48="En_Bloque",
IF(Datos!G48=4,D47,0),
0)),0)</f>
        <v>0</v>
      </c>
      <c r="R47" s="9">
        <f>IF(Ciclo="_5_años",
IF(Datos!F48="Por_Surcos",
IF(Datos!G48&gt;=1,D47/5,0),
IF(Datos!F48="En_Bloque",
IF(Datos!G48=1,D47,0),
0)),0)</f>
        <v>0</v>
      </c>
      <c r="S47" s="9">
        <f>IF(Ciclo="_5_años",
IF(Datos!F48="Por_Surcos",
IF(Datos!G48&gt;=2,D47/5,0),
IF(Datos!F48="En_Bloque",
IF(Datos!G48=2,D47,0),
0)),0)</f>
        <v>0</v>
      </c>
      <c r="T47" s="9">
        <f>IF(Ciclo="_5_años",
IF(Datos!F48="Por_Surcos",
IF(Datos!G48&gt;=3,D47/5,0),
IF(Datos!F48="En_Bloque",
IF(Datos!G48=3,D47,0),
0)),0)</f>
        <v>0</v>
      </c>
      <c r="U47" s="9">
        <f>IF(Ciclo="_5_años",
IF(Datos!F48="Por_Surcos",
IF(Datos!G48&gt;=4,D47/5,0),
IF(Datos!F48="En_Bloque",
IF(Datos!G48=4,D47,0),
0)),0)</f>
        <v>0</v>
      </c>
      <c r="V47" s="9">
        <f>IF(Ciclo="_5_años",
IF(Datos!F48="Por_Surcos",
IF(Datos!G48&gt;=5,D47/5,0),
IF(Datos!F48="En_Bloque",
IF(Datos!G48=5,D47,0),
0)),0)</f>
        <v>0</v>
      </c>
      <c r="W47" s="9">
        <f>(((L47*4.5)+(M47*12)+(O47*0.5)+(P47*4)+(Q47*8.5)+(S47*0.5)+(T47*4)+(U47*8.5)+(V47*6))*Datos!E48)/100</f>
        <v>0</v>
      </c>
      <c r="X47" s="6">
        <f t="shared" si="21"/>
        <v>0</v>
      </c>
      <c r="Y47" s="9">
        <f t="shared" si="45"/>
        <v>0</v>
      </c>
      <c r="Z47" s="9">
        <f t="shared" si="22"/>
        <v>0</v>
      </c>
      <c r="AA47" s="6">
        <f t="shared" si="23"/>
        <v>0</v>
      </c>
      <c r="AB47" s="9">
        <f t="shared" si="24"/>
        <v>0</v>
      </c>
      <c r="AC47" s="6">
        <f t="shared" si="25"/>
        <v>0</v>
      </c>
      <c r="AD47" s="6">
        <f t="shared" si="26"/>
        <v>0</v>
      </c>
      <c r="AE47" s="5">
        <f t="shared" si="27"/>
        <v>0</v>
      </c>
      <c r="AF47" s="5">
        <f>IF(Datos!F48="En_Bloque",0,IF(Datos!F48="Por_Surcos",IF(Datos!G48=1,E47/Plantas_Paliativa_Por_Dia,0),0))</f>
        <v>0</v>
      </c>
      <c r="AG47" s="5">
        <f t="shared" si="28"/>
        <v>0</v>
      </c>
      <c r="AH47" s="5">
        <f t="shared" si="29"/>
        <v>0</v>
      </c>
      <c r="AI47" s="5">
        <f t="shared" si="30"/>
        <v>0</v>
      </c>
      <c r="AJ47" s="5">
        <f t="shared" si="31"/>
        <v>0</v>
      </c>
      <c r="AK47" s="5">
        <f t="shared" si="32"/>
        <v>0</v>
      </c>
      <c r="AL47" s="5">
        <f t="shared" si="33"/>
        <v>0</v>
      </c>
      <c r="AM47" s="5">
        <f t="shared" si="34"/>
        <v>0</v>
      </c>
      <c r="AN47" s="5">
        <f t="shared" si="35"/>
        <v>0</v>
      </c>
      <c r="AO47" s="5">
        <f t="shared" si="36"/>
        <v>0</v>
      </c>
      <c r="AP47" s="5">
        <f t="shared" si="37"/>
        <v>0</v>
      </c>
      <c r="AQ47" s="5">
        <f t="shared" si="38"/>
        <v>0</v>
      </c>
      <c r="AR47" s="5">
        <f t="shared" si="46"/>
        <v>0</v>
      </c>
      <c r="AS47" s="6">
        <f>'Eficiencias &amp; Configuración'!B$12*Cálculos!C47</f>
        <v>0</v>
      </c>
      <c r="AT47" s="6">
        <f>IFERROR(('Eficiencias &amp; Configuración'!B$15*C47)*'Eficiencias &amp; Configuración'!B$14,0)</f>
        <v>0</v>
      </c>
      <c r="AU47">
        <f>C47*'Eficiencias &amp; Configuración'!B$16</f>
        <v>0</v>
      </c>
      <c r="AV47">
        <f>C47*'Eficiencias &amp; Configuración'!B$19</f>
        <v>0</v>
      </c>
      <c r="AW47">
        <f>(H47*Enfermedades_Crecimiento)*'Eficiencias &amp; Configuración'!B$18</f>
        <v>0</v>
      </c>
      <c r="AX47">
        <f>(I47+J47)*Enfermedades_Producción*'Eficiencias &amp; Configuración'!B$18</f>
        <v>0</v>
      </c>
      <c r="AY47" s="23">
        <f>W47*'Eficiencias &amp; Configuración'!B$24</f>
        <v>0</v>
      </c>
      <c r="AZ47" s="4">
        <f>(W47/5)*'Eficiencias &amp; Configuración'!B$25</f>
        <v>0</v>
      </c>
      <c r="BA47" s="5">
        <f t="shared" si="39"/>
        <v>0</v>
      </c>
      <c r="BB47" s="4">
        <f t="shared" si="40"/>
        <v>0</v>
      </c>
      <c r="BC47" s="4">
        <f t="shared" si="47"/>
        <v>0</v>
      </c>
      <c r="BD47" s="4">
        <f t="shared" si="41"/>
        <v>0</v>
      </c>
      <c r="BE47" s="5">
        <f t="shared" si="42"/>
        <v>0</v>
      </c>
      <c r="BF47" s="5">
        <f t="shared" si="43"/>
        <v>0</v>
      </c>
      <c r="BG47" s="5" t="e">
        <f t="shared" si="48"/>
        <v>#DIV/0!</v>
      </c>
      <c r="BH47" s="4">
        <f t="shared" si="49"/>
        <v>0</v>
      </c>
      <c r="BI47" s="4" t="e">
        <f t="shared" si="44"/>
        <v>#DIV/0!</v>
      </c>
    </row>
    <row r="48" spans="1:61" x14ac:dyDescent="0.25">
      <c r="A48" t="str">
        <f>Datos!A49</f>
        <v>Lote 45</v>
      </c>
      <c r="B48" s="6">
        <f>Datos!B49</f>
        <v>0</v>
      </c>
      <c r="C48">
        <f>_xlfn.XLOOKUP(UM,Hoja1!A$2:A$7,Hoja1!B$2:B$7)*B48</f>
        <v>0</v>
      </c>
      <c r="D48" s="9">
        <f>IFERROR((Metros2*Datos!B49/(Datos!D49*Datos!C49)),0)</f>
        <v>0</v>
      </c>
      <c r="E48" s="6">
        <f t="shared" si="15"/>
        <v>0</v>
      </c>
      <c r="F48" s="12">
        <f t="shared" si="16"/>
        <v>0</v>
      </c>
      <c r="G48" s="6">
        <f t="shared" si="17"/>
        <v>0</v>
      </c>
      <c r="H48">
        <f t="shared" si="18"/>
        <v>0</v>
      </c>
      <c r="I48">
        <f t="shared" si="19"/>
        <v>0</v>
      </c>
      <c r="J48">
        <f t="shared" si="20"/>
        <v>0</v>
      </c>
      <c r="K48" s="9">
        <f>IF(Ciclo="_3_años",
IF(Datos!F49="Por_Surcos",
IF(Datos!G49&gt;=1,D48/3,0),
IF(Datos!F49="En_Bloque",
IF(Datos!G49=1,D48,0),
0)),0)</f>
        <v>0</v>
      </c>
      <c r="L48" s="17">
        <f>IF(Ciclo="_3_años",
IF(Datos!F49="Por_Surcos",
IF(Datos!G49&gt;=2,D48/3,0),
IF(Datos!F49="En_Bloque",
IF(Datos!G49=2,D48,0),
0)),0)</f>
        <v>0</v>
      </c>
      <c r="M48" s="9">
        <f>IF(Ciclo="_3_años",
IF(Datos!F49="Por_Surcos",
IF(Datos!G49&gt;=3,D48/3,0),
IF(Datos!F49="En_Bloque",
IF(Datos!G49=3,D48,0),
0)),0)</f>
        <v>0</v>
      </c>
      <c r="N48" s="9">
        <f>IF(Ciclo="_4_años",
IF(Datos!F49="Por_Surcos",
IF(Datos!G49&gt;=1,D48/4,0),
IF(Datos!F49="En_Bloque",
IF(Datos!G49=1,D48,0),
0)),0)</f>
        <v>0</v>
      </c>
      <c r="O48" s="9">
        <f>IF(Ciclo="_4_años",
IF(Datos!F49="Por_Surcos",
IF(Datos!G49&gt;=2,D48/4,0),
IF(Datos!F49="En_Bloque",
IF(Datos!G49=2,D48,0),
0)),0)</f>
        <v>0</v>
      </c>
      <c r="P48" s="9">
        <f>IF(Ciclo="_4_años",
IF(Datos!F49="Por_Surcos",
IF(Datos!G49&gt;=3,D48/4,0),
IF(Datos!F49="En_Bloque",
IF(Datos!G49=3,D48,0),
0)),0)</f>
        <v>0</v>
      </c>
      <c r="Q48" s="9">
        <f>IF(Ciclo="_4_años",
IF(Datos!F49="Por_Surcos",
IF(Datos!G49&gt;=4,D48/4,0),
IF(Datos!F49="En_Bloque",
IF(Datos!G49=4,D48,0),
0)),0)</f>
        <v>0</v>
      </c>
      <c r="R48" s="9">
        <f>IF(Ciclo="_5_años",
IF(Datos!F49="Por_Surcos",
IF(Datos!G49&gt;=1,D48/5,0),
IF(Datos!F49="En_Bloque",
IF(Datos!G49=1,D48,0),
0)),0)</f>
        <v>0</v>
      </c>
      <c r="S48" s="9">
        <f>IF(Ciclo="_5_años",
IF(Datos!F49="Por_Surcos",
IF(Datos!G49&gt;=2,D48/5,0),
IF(Datos!F49="En_Bloque",
IF(Datos!G49=2,D48,0),
0)),0)</f>
        <v>0</v>
      </c>
      <c r="T48" s="9">
        <f>IF(Ciclo="_5_años",
IF(Datos!F49="Por_Surcos",
IF(Datos!G49&gt;=3,D48/5,0),
IF(Datos!F49="En_Bloque",
IF(Datos!G49=3,D48,0),
0)),0)</f>
        <v>0</v>
      </c>
      <c r="U48" s="9">
        <f>IF(Ciclo="_5_años",
IF(Datos!F49="Por_Surcos",
IF(Datos!G49&gt;=4,D48/5,0),
IF(Datos!F49="En_Bloque",
IF(Datos!G49=4,D48,0),
0)),0)</f>
        <v>0</v>
      </c>
      <c r="V48" s="9">
        <f>IF(Ciclo="_5_años",
IF(Datos!F49="Por_Surcos",
IF(Datos!G49&gt;=5,D48/5,0),
IF(Datos!F49="En_Bloque",
IF(Datos!G49=5,D48,0),
0)),0)</f>
        <v>0</v>
      </c>
      <c r="W48" s="9">
        <f>(((L48*4.5)+(M48*12)+(O48*0.5)+(P48*4)+(Q48*8.5)+(S48*0.5)+(T48*4)+(U48*8.5)+(V48*6))*Datos!E49)/100</f>
        <v>0</v>
      </c>
      <c r="X48" s="6">
        <f t="shared" si="21"/>
        <v>0</v>
      </c>
      <c r="Y48" s="9">
        <f t="shared" si="45"/>
        <v>0</v>
      </c>
      <c r="Z48" s="9">
        <f t="shared" si="22"/>
        <v>0</v>
      </c>
      <c r="AA48" s="6">
        <f t="shared" si="23"/>
        <v>0</v>
      </c>
      <c r="AB48" s="9">
        <f t="shared" si="24"/>
        <v>0</v>
      </c>
      <c r="AC48" s="6">
        <f t="shared" si="25"/>
        <v>0</v>
      </c>
      <c r="AD48" s="6">
        <f t="shared" si="26"/>
        <v>0</v>
      </c>
      <c r="AE48" s="5">
        <f t="shared" si="27"/>
        <v>0</v>
      </c>
      <c r="AF48" s="5">
        <f>IF(Datos!F49="En_Bloque",0,IF(Datos!F49="Por_Surcos",IF(Datos!G49=1,E48/Plantas_Paliativa_Por_Dia,0),0))</f>
        <v>0</v>
      </c>
      <c r="AG48" s="5">
        <f t="shared" si="28"/>
        <v>0</v>
      </c>
      <c r="AH48" s="5">
        <f t="shared" si="29"/>
        <v>0</v>
      </c>
      <c r="AI48" s="5">
        <f t="shared" si="30"/>
        <v>0</v>
      </c>
      <c r="AJ48" s="5">
        <f t="shared" si="31"/>
        <v>0</v>
      </c>
      <c r="AK48" s="5">
        <f t="shared" si="32"/>
        <v>0</v>
      </c>
      <c r="AL48" s="5">
        <f t="shared" si="33"/>
        <v>0</v>
      </c>
      <c r="AM48" s="5">
        <f t="shared" si="34"/>
        <v>0</v>
      </c>
      <c r="AN48" s="5">
        <f t="shared" si="35"/>
        <v>0</v>
      </c>
      <c r="AO48" s="5">
        <f t="shared" si="36"/>
        <v>0</v>
      </c>
      <c r="AP48" s="5">
        <f t="shared" si="37"/>
        <v>0</v>
      </c>
      <c r="AQ48" s="5">
        <f t="shared" si="38"/>
        <v>0</v>
      </c>
      <c r="AR48" s="5">
        <f t="shared" si="46"/>
        <v>0</v>
      </c>
      <c r="AS48" s="6">
        <f>'Eficiencias &amp; Configuración'!B$12*Cálculos!C48</f>
        <v>0</v>
      </c>
      <c r="AT48" s="6">
        <f>IFERROR(('Eficiencias &amp; Configuración'!B$15*C48)*'Eficiencias &amp; Configuración'!B$14,0)</f>
        <v>0</v>
      </c>
      <c r="AU48">
        <f>C48*'Eficiencias &amp; Configuración'!B$16</f>
        <v>0</v>
      </c>
      <c r="AV48">
        <f>C48*'Eficiencias &amp; Configuración'!B$19</f>
        <v>0</v>
      </c>
      <c r="AW48">
        <f>(H48*Enfermedades_Crecimiento)*'Eficiencias &amp; Configuración'!B$18</f>
        <v>0</v>
      </c>
      <c r="AX48">
        <f>(I48+J48)*Enfermedades_Producción*'Eficiencias &amp; Configuración'!B$18</f>
        <v>0</v>
      </c>
      <c r="AY48" s="23">
        <f>W48*'Eficiencias &amp; Configuración'!B$24</f>
        <v>0</v>
      </c>
      <c r="AZ48" s="4">
        <f>(W48/5)*'Eficiencias &amp; Configuración'!B$25</f>
        <v>0</v>
      </c>
      <c r="BA48" s="5">
        <f t="shared" si="39"/>
        <v>0</v>
      </c>
      <c r="BB48" s="4">
        <f t="shared" si="40"/>
        <v>0</v>
      </c>
      <c r="BC48" s="4">
        <f t="shared" si="47"/>
        <v>0</v>
      </c>
      <c r="BD48" s="4">
        <f t="shared" si="41"/>
        <v>0</v>
      </c>
      <c r="BE48" s="5">
        <f t="shared" si="42"/>
        <v>0</v>
      </c>
      <c r="BF48" s="5">
        <f t="shared" si="43"/>
        <v>0</v>
      </c>
      <c r="BG48" s="5" t="e">
        <f t="shared" si="48"/>
        <v>#DIV/0!</v>
      </c>
      <c r="BH48" s="4">
        <f t="shared" si="49"/>
        <v>0</v>
      </c>
      <c r="BI48" s="4" t="e">
        <f t="shared" si="44"/>
        <v>#DIV/0!</v>
      </c>
    </row>
    <row r="49" spans="1:61" x14ac:dyDescent="0.25">
      <c r="A49" t="str">
        <f>Datos!A50</f>
        <v>Lote 46</v>
      </c>
      <c r="B49" s="6">
        <f>Datos!B50</f>
        <v>0</v>
      </c>
      <c r="C49">
        <f>_xlfn.XLOOKUP(UM,Hoja1!A$2:A$7,Hoja1!B$2:B$7)*B49</f>
        <v>0</v>
      </c>
      <c r="D49" s="9">
        <f>IFERROR((Metros2*Datos!B50/(Datos!D50*Datos!C50)),0)</f>
        <v>0</v>
      </c>
      <c r="E49" s="6">
        <f t="shared" si="15"/>
        <v>0</v>
      </c>
      <c r="F49" s="12">
        <f t="shared" si="16"/>
        <v>0</v>
      </c>
      <c r="G49" s="6">
        <f t="shared" si="17"/>
        <v>0</v>
      </c>
      <c r="H49">
        <f t="shared" si="18"/>
        <v>0</v>
      </c>
      <c r="I49">
        <f t="shared" si="19"/>
        <v>0</v>
      </c>
      <c r="J49">
        <f t="shared" si="20"/>
        <v>0</v>
      </c>
      <c r="K49" s="9">
        <f>IF(Ciclo="_3_años",
IF(Datos!F50="Por_Surcos",
IF(Datos!G50&gt;=1,D49/3,0),
IF(Datos!F50="En_Bloque",
IF(Datos!G50=1,D49,0),
0)),0)</f>
        <v>0</v>
      </c>
      <c r="L49" s="17">
        <f>IF(Ciclo="_3_años",
IF(Datos!F50="Por_Surcos",
IF(Datos!G50&gt;=2,D49/3,0),
IF(Datos!F50="En_Bloque",
IF(Datos!G50=2,D49,0),
0)),0)</f>
        <v>0</v>
      </c>
      <c r="M49" s="9">
        <f>IF(Ciclo="_3_años",
IF(Datos!F50="Por_Surcos",
IF(Datos!G50&gt;=3,D49/3,0),
IF(Datos!F50="En_Bloque",
IF(Datos!G50=3,D49,0),
0)),0)</f>
        <v>0</v>
      </c>
      <c r="N49" s="9">
        <f>IF(Ciclo="_4_años",
IF(Datos!F50="Por_Surcos",
IF(Datos!G50&gt;=1,D49/4,0),
IF(Datos!F50="En_Bloque",
IF(Datos!G50=1,D49,0),
0)),0)</f>
        <v>0</v>
      </c>
      <c r="O49" s="9">
        <f>IF(Ciclo="_4_años",
IF(Datos!F50="Por_Surcos",
IF(Datos!G50&gt;=2,D49/4,0),
IF(Datos!F50="En_Bloque",
IF(Datos!G50=2,D49,0),
0)),0)</f>
        <v>0</v>
      </c>
      <c r="P49" s="9">
        <f>IF(Ciclo="_4_años",
IF(Datos!F50="Por_Surcos",
IF(Datos!G50&gt;=3,D49/4,0),
IF(Datos!F50="En_Bloque",
IF(Datos!G50=3,D49,0),
0)),0)</f>
        <v>0</v>
      </c>
      <c r="Q49" s="9">
        <f>IF(Ciclo="_4_años",
IF(Datos!F50="Por_Surcos",
IF(Datos!G50&gt;=4,D49/4,0),
IF(Datos!F50="En_Bloque",
IF(Datos!G50=4,D49,0),
0)),0)</f>
        <v>0</v>
      </c>
      <c r="R49" s="9">
        <f>IF(Ciclo="_5_años",
IF(Datos!F50="Por_Surcos",
IF(Datos!G50&gt;=1,D49/5,0),
IF(Datos!F50="En_Bloque",
IF(Datos!G50=1,D49,0),
0)),0)</f>
        <v>0</v>
      </c>
      <c r="S49" s="9">
        <f>IF(Ciclo="_5_años",
IF(Datos!F50="Por_Surcos",
IF(Datos!G50&gt;=2,D49/5,0),
IF(Datos!F50="En_Bloque",
IF(Datos!G50=2,D49,0),
0)),0)</f>
        <v>0</v>
      </c>
      <c r="T49" s="9">
        <f>IF(Ciclo="_5_años",
IF(Datos!F50="Por_Surcos",
IF(Datos!G50&gt;=3,D49/5,0),
IF(Datos!F50="En_Bloque",
IF(Datos!G50=3,D49,0),
0)),0)</f>
        <v>0</v>
      </c>
      <c r="U49" s="9">
        <f>IF(Ciclo="_5_años",
IF(Datos!F50="Por_Surcos",
IF(Datos!G50&gt;=4,D49/5,0),
IF(Datos!F50="En_Bloque",
IF(Datos!G50=4,D49,0),
0)),0)</f>
        <v>0</v>
      </c>
      <c r="V49" s="9">
        <f>IF(Ciclo="_5_años",
IF(Datos!F50="Por_Surcos",
IF(Datos!G50&gt;=5,D49/5,0),
IF(Datos!F50="En_Bloque",
IF(Datos!G50=5,D49,0),
0)),0)</f>
        <v>0</v>
      </c>
      <c r="W49" s="9">
        <f>(((L49*4.5)+(M49*12)+(O49*0.5)+(P49*4)+(Q49*8.5)+(S49*0.5)+(T49*4)+(U49*8.5)+(V49*6))*Datos!E50)/100</f>
        <v>0</v>
      </c>
      <c r="X49" s="6">
        <f t="shared" si="21"/>
        <v>0</v>
      </c>
      <c r="Y49" s="9">
        <f t="shared" si="45"/>
        <v>0</v>
      </c>
      <c r="Z49" s="9">
        <f t="shared" si="22"/>
        <v>0</v>
      </c>
      <c r="AA49" s="6">
        <f t="shared" si="23"/>
        <v>0</v>
      </c>
      <c r="AB49" s="9">
        <f t="shared" si="24"/>
        <v>0</v>
      </c>
      <c r="AC49" s="6">
        <f t="shared" si="25"/>
        <v>0</v>
      </c>
      <c r="AD49" s="6">
        <f t="shared" si="26"/>
        <v>0</v>
      </c>
      <c r="AE49" s="5">
        <f t="shared" si="27"/>
        <v>0</v>
      </c>
      <c r="AF49" s="5">
        <f>IF(Datos!F50="En_Bloque",0,IF(Datos!F50="Por_Surcos",IF(Datos!G50=1,E49/Plantas_Paliativa_Por_Dia,0),0))</f>
        <v>0</v>
      </c>
      <c r="AG49" s="5">
        <f t="shared" si="28"/>
        <v>0</v>
      </c>
      <c r="AH49" s="5">
        <f t="shared" si="29"/>
        <v>0</v>
      </c>
      <c r="AI49" s="5">
        <f t="shared" si="30"/>
        <v>0</v>
      </c>
      <c r="AJ49" s="5">
        <f t="shared" si="31"/>
        <v>0</v>
      </c>
      <c r="AK49" s="5">
        <f t="shared" si="32"/>
        <v>0</v>
      </c>
      <c r="AL49" s="5">
        <f t="shared" si="33"/>
        <v>0</v>
      </c>
      <c r="AM49" s="5">
        <f t="shared" si="34"/>
        <v>0</v>
      </c>
      <c r="AN49" s="5">
        <f t="shared" si="35"/>
        <v>0</v>
      </c>
      <c r="AO49" s="5">
        <f t="shared" si="36"/>
        <v>0</v>
      </c>
      <c r="AP49" s="5">
        <f t="shared" si="37"/>
        <v>0</v>
      </c>
      <c r="AQ49" s="5">
        <f t="shared" si="38"/>
        <v>0</v>
      </c>
      <c r="AR49" s="5">
        <f t="shared" si="46"/>
        <v>0</v>
      </c>
      <c r="AS49" s="6">
        <f>'Eficiencias &amp; Configuración'!B$12*Cálculos!C49</f>
        <v>0</v>
      </c>
      <c r="AT49" s="6">
        <f>IFERROR(('Eficiencias &amp; Configuración'!B$15*C49)*'Eficiencias &amp; Configuración'!B$14,0)</f>
        <v>0</v>
      </c>
      <c r="AU49">
        <f>C49*'Eficiencias &amp; Configuración'!B$16</f>
        <v>0</v>
      </c>
      <c r="AV49">
        <f>C49*'Eficiencias &amp; Configuración'!B$19</f>
        <v>0</v>
      </c>
      <c r="AW49">
        <f>(H49*Enfermedades_Crecimiento)*'Eficiencias &amp; Configuración'!B$18</f>
        <v>0</v>
      </c>
      <c r="AX49">
        <f>(I49+J49)*Enfermedades_Producción*'Eficiencias &amp; Configuración'!B$18</f>
        <v>0</v>
      </c>
      <c r="AY49" s="23">
        <f>W49*'Eficiencias &amp; Configuración'!B$24</f>
        <v>0</v>
      </c>
      <c r="AZ49" s="4">
        <f>(W49/5)*'Eficiencias &amp; Configuración'!B$25</f>
        <v>0</v>
      </c>
      <c r="BA49" s="5">
        <f t="shared" si="39"/>
        <v>0</v>
      </c>
      <c r="BB49" s="4">
        <f t="shared" si="40"/>
        <v>0</v>
      </c>
      <c r="BC49" s="4">
        <f t="shared" si="47"/>
        <v>0</v>
      </c>
      <c r="BD49" s="4">
        <f t="shared" si="41"/>
        <v>0</v>
      </c>
      <c r="BE49" s="5">
        <f t="shared" si="42"/>
        <v>0</v>
      </c>
      <c r="BF49" s="5">
        <f t="shared" si="43"/>
        <v>0</v>
      </c>
      <c r="BG49" s="5" t="e">
        <f t="shared" si="48"/>
        <v>#DIV/0!</v>
      </c>
      <c r="BH49" s="4">
        <f t="shared" si="49"/>
        <v>0</v>
      </c>
      <c r="BI49" s="4" t="e">
        <f t="shared" si="44"/>
        <v>#DIV/0!</v>
      </c>
    </row>
    <row r="50" spans="1:61" x14ac:dyDescent="0.25">
      <c r="A50" t="str">
        <f>Datos!A51</f>
        <v>Lote 47</v>
      </c>
      <c r="B50" s="6">
        <f>Datos!B51</f>
        <v>0</v>
      </c>
      <c r="C50">
        <f>_xlfn.XLOOKUP(UM,Hoja1!A$2:A$7,Hoja1!B$2:B$7)*B50</f>
        <v>0</v>
      </c>
      <c r="D50" s="9">
        <f>IFERROR((Metros2*Datos!B51/(Datos!D51*Datos!C51)),0)</f>
        <v>0</v>
      </c>
      <c r="E50" s="6">
        <f t="shared" si="15"/>
        <v>0</v>
      </c>
      <c r="F50" s="12">
        <f t="shared" si="16"/>
        <v>0</v>
      </c>
      <c r="G50" s="6">
        <f t="shared" si="17"/>
        <v>0</v>
      </c>
      <c r="H50">
        <f t="shared" si="18"/>
        <v>0</v>
      </c>
      <c r="I50">
        <f t="shared" si="19"/>
        <v>0</v>
      </c>
      <c r="J50">
        <f t="shared" si="20"/>
        <v>0</v>
      </c>
      <c r="K50" s="9">
        <f>IF(Ciclo="_3_años",
IF(Datos!F51="Por_Surcos",
IF(Datos!G51&gt;=1,D50/3,0),
IF(Datos!F51="En_Bloque",
IF(Datos!G51=1,D50,0),
0)),0)</f>
        <v>0</v>
      </c>
      <c r="L50" s="17">
        <f>IF(Ciclo="_3_años",
IF(Datos!F51="Por_Surcos",
IF(Datos!G51&gt;=2,D50/3,0),
IF(Datos!F51="En_Bloque",
IF(Datos!G51=2,D50,0),
0)),0)</f>
        <v>0</v>
      </c>
      <c r="M50" s="9">
        <f>IF(Ciclo="_3_años",
IF(Datos!F51="Por_Surcos",
IF(Datos!G51&gt;=3,D50/3,0),
IF(Datos!F51="En_Bloque",
IF(Datos!G51=3,D50,0),
0)),0)</f>
        <v>0</v>
      </c>
      <c r="N50" s="9">
        <f>IF(Ciclo="_4_años",
IF(Datos!F51="Por_Surcos",
IF(Datos!G51&gt;=1,D50/4,0),
IF(Datos!F51="En_Bloque",
IF(Datos!G51=1,D50,0),
0)),0)</f>
        <v>0</v>
      </c>
      <c r="O50" s="9">
        <f>IF(Ciclo="_4_años",
IF(Datos!F51="Por_Surcos",
IF(Datos!G51&gt;=2,D50/4,0),
IF(Datos!F51="En_Bloque",
IF(Datos!G51=2,D50,0),
0)),0)</f>
        <v>0</v>
      </c>
      <c r="P50" s="9">
        <f>IF(Ciclo="_4_años",
IF(Datos!F51="Por_Surcos",
IF(Datos!G51&gt;=3,D50/4,0),
IF(Datos!F51="En_Bloque",
IF(Datos!G51=3,D50,0),
0)),0)</f>
        <v>0</v>
      </c>
      <c r="Q50" s="9">
        <f>IF(Ciclo="_4_años",
IF(Datos!F51="Por_Surcos",
IF(Datos!G51&gt;=4,D50/4,0),
IF(Datos!F51="En_Bloque",
IF(Datos!G51=4,D50,0),
0)),0)</f>
        <v>0</v>
      </c>
      <c r="R50" s="9">
        <f>IF(Ciclo="_5_años",
IF(Datos!F51="Por_Surcos",
IF(Datos!G51&gt;=1,D50/5,0),
IF(Datos!F51="En_Bloque",
IF(Datos!G51=1,D50,0),
0)),0)</f>
        <v>0</v>
      </c>
      <c r="S50" s="9">
        <f>IF(Ciclo="_5_años",
IF(Datos!F51="Por_Surcos",
IF(Datos!G51&gt;=2,D50/5,0),
IF(Datos!F51="En_Bloque",
IF(Datos!G51=2,D50,0),
0)),0)</f>
        <v>0</v>
      </c>
      <c r="T50" s="9">
        <f>IF(Ciclo="_5_años",
IF(Datos!F51="Por_Surcos",
IF(Datos!G51&gt;=3,D50/5,0),
IF(Datos!F51="En_Bloque",
IF(Datos!G51=3,D50,0),
0)),0)</f>
        <v>0</v>
      </c>
      <c r="U50" s="9">
        <f>IF(Ciclo="_5_años",
IF(Datos!F51="Por_Surcos",
IF(Datos!G51&gt;=4,D50/5,0),
IF(Datos!F51="En_Bloque",
IF(Datos!G51=4,D50,0),
0)),0)</f>
        <v>0</v>
      </c>
      <c r="V50" s="9">
        <f>IF(Ciclo="_5_años",
IF(Datos!F51="Por_Surcos",
IF(Datos!G51&gt;=5,D50/5,0),
IF(Datos!F51="En_Bloque",
IF(Datos!G51=5,D50,0),
0)),0)</f>
        <v>0</v>
      </c>
      <c r="W50" s="9">
        <f>(((L50*4.5)+(M50*12)+(O50*0.5)+(P50*4)+(Q50*8.5)+(S50*0.5)+(T50*4)+(U50*8.5)+(V50*6))*Datos!E51)/100</f>
        <v>0</v>
      </c>
      <c r="X50" s="6">
        <f t="shared" si="21"/>
        <v>0</v>
      </c>
      <c r="Y50" s="9">
        <f t="shared" si="45"/>
        <v>0</v>
      </c>
      <c r="Z50" s="9">
        <f t="shared" si="22"/>
        <v>0</v>
      </c>
      <c r="AA50" s="6">
        <f t="shared" si="23"/>
        <v>0</v>
      </c>
      <c r="AB50" s="9">
        <f t="shared" si="24"/>
        <v>0</v>
      </c>
      <c r="AC50" s="6">
        <f t="shared" si="25"/>
        <v>0</v>
      </c>
      <c r="AD50" s="6">
        <f t="shared" si="26"/>
        <v>0</v>
      </c>
      <c r="AE50" s="5">
        <f t="shared" si="27"/>
        <v>0</v>
      </c>
      <c r="AF50" s="5">
        <f>IF(Datos!F51="En_Bloque",0,IF(Datos!F51="Por_Surcos",IF(Datos!G51=1,E50/Plantas_Paliativa_Por_Dia,0),0))</f>
        <v>0</v>
      </c>
      <c r="AG50" s="5">
        <f t="shared" si="28"/>
        <v>0</v>
      </c>
      <c r="AH50" s="5">
        <f t="shared" si="29"/>
        <v>0</v>
      </c>
      <c r="AI50" s="5">
        <f t="shared" si="30"/>
        <v>0</v>
      </c>
      <c r="AJ50" s="5">
        <f t="shared" si="31"/>
        <v>0</v>
      </c>
      <c r="AK50" s="5">
        <f t="shared" si="32"/>
        <v>0</v>
      </c>
      <c r="AL50" s="5">
        <f t="shared" si="33"/>
        <v>0</v>
      </c>
      <c r="AM50" s="5">
        <f t="shared" si="34"/>
        <v>0</v>
      </c>
      <c r="AN50" s="5">
        <f t="shared" si="35"/>
        <v>0</v>
      </c>
      <c r="AO50" s="5">
        <f t="shared" si="36"/>
        <v>0</v>
      </c>
      <c r="AP50" s="5">
        <f t="shared" si="37"/>
        <v>0</v>
      </c>
      <c r="AQ50" s="5">
        <f t="shared" si="38"/>
        <v>0</v>
      </c>
      <c r="AR50" s="5">
        <f t="shared" si="46"/>
        <v>0</v>
      </c>
      <c r="AS50" s="6">
        <f>'Eficiencias &amp; Configuración'!B$12*Cálculos!C50</f>
        <v>0</v>
      </c>
      <c r="AT50" s="6">
        <f>IFERROR(('Eficiencias &amp; Configuración'!B$15*C50)*'Eficiencias &amp; Configuración'!B$14,0)</f>
        <v>0</v>
      </c>
      <c r="AU50">
        <f>C50*'Eficiencias &amp; Configuración'!B$16</f>
        <v>0</v>
      </c>
      <c r="AV50">
        <f>C50*'Eficiencias &amp; Configuración'!B$19</f>
        <v>0</v>
      </c>
      <c r="AW50">
        <f>(H50*Enfermedades_Crecimiento)*'Eficiencias &amp; Configuración'!B$18</f>
        <v>0</v>
      </c>
      <c r="AX50">
        <f>(I50+J50)*Enfermedades_Producción*'Eficiencias &amp; Configuración'!B$18</f>
        <v>0</v>
      </c>
      <c r="AY50" s="23">
        <f>W50*'Eficiencias &amp; Configuración'!B$24</f>
        <v>0</v>
      </c>
      <c r="AZ50" s="4">
        <f>(W50/5)*'Eficiencias &amp; Configuración'!B$25</f>
        <v>0</v>
      </c>
      <c r="BA50" s="5">
        <f t="shared" si="39"/>
        <v>0</v>
      </c>
      <c r="BB50" s="4">
        <f t="shared" si="40"/>
        <v>0</v>
      </c>
      <c r="BC50" s="4">
        <f t="shared" si="47"/>
        <v>0</v>
      </c>
      <c r="BD50" s="4">
        <f t="shared" si="41"/>
        <v>0</v>
      </c>
      <c r="BE50" s="5">
        <f t="shared" si="42"/>
        <v>0</v>
      </c>
      <c r="BF50" s="5">
        <f t="shared" si="43"/>
        <v>0</v>
      </c>
      <c r="BG50" s="5" t="e">
        <f t="shared" si="48"/>
        <v>#DIV/0!</v>
      </c>
      <c r="BH50" s="4">
        <f t="shared" si="49"/>
        <v>0</v>
      </c>
      <c r="BI50" s="4" t="e">
        <f t="shared" si="44"/>
        <v>#DIV/0!</v>
      </c>
    </row>
    <row r="51" spans="1:61" x14ac:dyDescent="0.25">
      <c r="A51" t="str">
        <f>Datos!A52</f>
        <v>Lote 48</v>
      </c>
      <c r="B51" s="6">
        <f>Datos!B52</f>
        <v>0</v>
      </c>
      <c r="C51">
        <f>_xlfn.XLOOKUP(UM,Hoja1!A$2:A$7,Hoja1!B$2:B$7)*B51</f>
        <v>0</v>
      </c>
      <c r="D51" s="9">
        <f>IFERROR((Metros2*Datos!B52/(Datos!D52*Datos!C52)),0)</f>
        <v>0</v>
      </c>
      <c r="E51" s="6">
        <f t="shared" si="15"/>
        <v>0</v>
      </c>
      <c r="F51" s="12">
        <f t="shared" si="16"/>
        <v>0</v>
      </c>
      <c r="G51" s="6">
        <f t="shared" si="17"/>
        <v>0</v>
      </c>
      <c r="H51">
        <f t="shared" si="18"/>
        <v>0</v>
      </c>
      <c r="I51">
        <f t="shared" si="19"/>
        <v>0</v>
      </c>
      <c r="J51">
        <f t="shared" si="20"/>
        <v>0</v>
      </c>
      <c r="K51" s="9">
        <f>IF(Ciclo="_3_años",
IF(Datos!F52="Por_Surcos",
IF(Datos!G52&gt;=1,D51/3,0),
IF(Datos!F52="En_Bloque",
IF(Datos!G52=1,D51,0),
0)),0)</f>
        <v>0</v>
      </c>
      <c r="L51" s="17">
        <f>IF(Ciclo="_3_años",
IF(Datos!F52="Por_Surcos",
IF(Datos!G52&gt;=2,D51/3,0),
IF(Datos!F52="En_Bloque",
IF(Datos!G52=2,D51,0),
0)),0)</f>
        <v>0</v>
      </c>
      <c r="M51" s="9">
        <f>IF(Ciclo="_3_años",
IF(Datos!F52="Por_Surcos",
IF(Datos!G52&gt;=3,D51/3,0),
IF(Datos!F52="En_Bloque",
IF(Datos!G52=3,D51,0),
0)),0)</f>
        <v>0</v>
      </c>
      <c r="N51" s="9">
        <f>IF(Ciclo="_4_años",
IF(Datos!F52="Por_Surcos",
IF(Datos!G52&gt;=1,D51/4,0),
IF(Datos!F52="En_Bloque",
IF(Datos!G52=1,D51,0),
0)),0)</f>
        <v>0</v>
      </c>
      <c r="O51" s="9">
        <f>IF(Ciclo="_4_años",
IF(Datos!F52="Por_Surcos",
IF(Datos!G52&gt;=2,D51/4,0),
IF(Datos!F52="En_Bloque",
IF(Datos!G52=2,D51,0),
0)),0)</f>
        <v>0</v>
      </c>
      <c r="P51" s="9">
        <f>IF(Ciclo="_4_años",
IF(Datos!F52="Por_Surcos",
IF(Datos!G52&gt;=3,D51/4,0),
IF(Datos!F52="En_Bloque",
IF(Datos!G52=3,D51,0),
0)),0)</f>
        <v>0</v>
      </c>
      <c r="Q51" s="9">
        <f>IF(Ciclo="_4_años",
IF(Datos!F52="Por_Surcos",
IF(Datos!G52&gt;=4,D51/4,0),
IF(Datos!F52="En_Bloque",
IF(Datos!G52=4,D51,0),
0)),0)</f>
        <v>0</v>
      </c>
      <c r="R51" s="9">
        <f>IF(Ciclo="_5_años",
IF(Datos!F52="Por_Surcos",
IF(Datos!G52&gt;=1,D51/5,0),
IF(Datos!F52="En_Bloque",
IF(Datos!G52=1,D51,0),
0)),0)</f>
        <v>0</v>
      </c>
      <c r="S51" s="9">
        <f>IF(Ciclo="_5_años",
IF(Datos!F52="Por_Surcos",
IF(Datos!G52&gt;=2,D51/5,0),
IF(Datos!F52="En_Bloque",
IF(Datos!G52=2,D51,0),
0)),0)</f>
        <v>0</v>
      </c>
      <c r="T51" s="9">
        <f>IF(Ciclo="_5_años",
IF(Datos!F52="Por_Surcos",
IF(Datos!G52&gt;=3,D51/5,0),
IF(Datos!F52="En_Bloque",
IF(Datos!G52=3,D51,0),
0)),0)</f>
        <v>0</v>
      </c>
      <c r="U51" s="9">
        <f>IF(Ciclo="_5_años",
IF(Datos!F52="Por_Surcos",
IF(Datos!G52&gt;=4,D51/5,0),
IF(Datos!F52="En_Bloque",
IF(Datos!G52=4,D51,0),
0)),0)</f>
        <v>0</v>
      </c>
      <c r="V51" s="9">
        <f>IF(Ciclo="_5_años",
IF(Datos!F52="Por_Surcos",
IF(Datos!G52&gt;=5,D51/5,0),
IF(Datos!F52="En_Bloque",
IF(Datos!G52=5,D51,0),
0)),0)</f>
        <v>0</v>
      </c>
      <c r="W51" s="9">
        <f>(((L51*4.5)+(M51*12)+(O51*0.5)+(P51*4)+(Q51*8.5)+(S51*0.5)+(T51*4)+(U51*8.5)+(V51*6))*Datos!E52)/100</f>
        <v>0</v>
      </c>
      <c r="X51" s="6">
        <f t="shared" si="21"/>
        <v>0</v>
      </c>
      <c r="Y51" s="9">
        <f t="shared" si="45"/>
        <v>0</v>
      </c>
      <c r="Z51" s="9">
        <f t="shared" si="22"/>
        <v>0</v>
      </c>
      <c r="AA51" s="6">
        <f t="shared" si="23"/>
        <v>0</v>
      </c>
      <c r="AB51" s="9">
        <f t="shared" si="24"/>
        <v>0</v>
      </c>
      <c r="AC51" s="6">
        <f t="shared" si="25"/>
        <v>0</v>
      </c>
      <c r="AD51" s="6">
        <f t="shared" si="26"/>
        <v>0</v>
      </c>
      <c r="AE51" s="5">
        <f t="shared" si="27"/>
        <v>0</v>
      </c>
      <c r="AF51" s="5">
        <f>IF(Datos!F52="En_Bloque",0,IF(Datos!F52="Por_Surcos",IF(Datos!G52=1,E51/Plantas_Paliativa_Por_Dia,0),0))</f>
        <v>0</v>
      </c>
      <c r="AG51" s="5">
        <f t="shared" si="28"/>
        <v>0</v>
      </c>
      <c r="AH51" s="5">
        <f t="shared" si="29"/>
        <v>0</v>
      </c>
      <c r="AI51" s="5">
        <f t="shared" si="30"/>
        <v>0</v>
      </c>
      <c r="AJ51" s="5">
        <f t="shared" si="31"/>
        <v>0</v>
      </c>
      <c r="AK51" s="5">
        <f t="shared" si="32"/>
        <v>0</v>
      </c>
      <c r="AL51" s="5">
        <f t="shared" si="33"/>
        <v>0</v>
      </c>
      <c r="AM51" s="5">
        <f t="shared" si="34"/>
        <v>0</v>
      </c>
      <c r="AN51" s="5">
        <f t="shared" si="35"/>
        <v>0</v>
      </c>
      <c r="AO51" s="5">
        <f t="shared" si="36"/>
        <v>0</v>
      </c>
      <c r="AP51" s="5">
        <f t="shared" si="37"/>
        <v>0</v>
      </c>
      <c r="AQ51" s="5">
        <f t="shared" si="38"/>
        <v>0</v>
      </c>
      <c r="AR51" s="5">
        <f t="shared" si="46"/>
        <v>0</v>
      </c>
      <c r="AS51" s="6">
        <f>'Eficiencias &amp; Configuración'!B$12*Cálculos!C51</f>
        <v>0</v>
      </c>
      <c r="AT51" s="6">
        <f>IFERROR(('Eficiencias &amp; Configuración'!B$15*C51)*'Eficiencias &amp; Configuración'!B$14,0)</f>
        <v>0</v>
      </c>
      <c r="AU51">
        <f>C51*'Eficiencias &amp; Configuración'!B$16</f>
        <v>0</v>
      </c>
      <c r="AV51">
        <f>C51*'Eficiencias &amp; Configuración'!B$19</f>
        <v>0</v>
      </c>
      <c r="AW51">
        <f>(H51*Enfermedades_Crecimiento)*'Eficiencias &amp; Configuración'!B$18</f>
        <v>0</v>
      </c>
      <c r="AX51">
        <f>(I51+J51)*Enfermedades_Producción*'Eficiencias &amp; Configuración'!B$18</f>
        <v>0</v>
      </c>
      <c r="AY51" s="23">
        <f>W51*'Eficiencias &amp; Configuración'!B$24</f>
        <v>0</v>
      </c>
      <c r="AZ51" s="4">
        <f>(W51/5)*'Eficiencias &amp; Configuración'!B$25</f>
        <v>0</v>
      </c>
      <c r="BA51" s="5">
        <f t="shared" si="39"/>
        <v>0</v>
      </c>
      <c r="BB51" s="4">
        <f t="shared" si="40"/>
        <v>0</v>
      </c>
      <c r="BC51" s="4">
        <f t="shared" si="47"/>
        <v>0</v>
      </c>
      <c r="BD51" s="4">
        <f t="shared" si="41"/>
        <v>0</v>
      </c>
      <c r="BE51" s="5">
        <f t="shared" si="42"/>
        <v>0</v>
      </c>
      <c r="BF51" s="5">
        <f t="shared" si="43"/>
        <v>0</v>
      </c>
      <c r="BG51" s="5" t="e">
        <f t="shared" si="48"/>
        <v>#DIV/0!</v>
      </c>
      <c r="BH51" s="4">
        <f t="shared" si="49"/>
        <v>0</v>
      </c>
      <c r="BI51" s="4" t="e">
        <f t="shared" si="44"/>
        <v>#DIV/0!</v>
      </c>
    </row>
    <row r="52" spans="1:61" x14ac:dyDescent="0.25">
      <c r="A52" t="str">
        <f>Datos!A53</f>
        <v>Lote 49</v>
      </c>
      <c r="B52" s="6">
        <f>Datos!B53</f>
        <v>0</v>
      </c>
      <c r="C52">
        <f>_xlfn.XLOOKUP(UM,Hoja1!A$2:A$7,Hoja1!B$2:B$7)*B52</f>
        <v>0</v>
      </c>
      <c r="D52" s="9">
        <f>IFERROR((Metros2*Datos!B53/(Datos!D53*Datos!C53)),0)</f>
        <v>0</v>
      </c>
      <c r="E52" s="6">
        <f t="shared" si="15"/>
        <v>0</v>
      </c>
      <c r="F52" s="12">
        <f t="shared" si="16"/>
        <v>0</v>
      </c>
      <c r="G52" s="6">
        <f t="shared" si="17"/>
        <v>0</v>
      </c>
      <c r="H52">
        <f t="shared" si="18"/>
        <v>0</v>
      </c>
      <c r="I52">
        <f t="shared" si="19"/>
        <v>0</v>
      </c>
      <c r="J52">
        <f t="shared" si="20"/>
        <v>0</v>
      </c>
      <c r="K52" s="9">
        <f>IF(Ciclo="_3_años",
IF(Datos!F53="Por_Surcos",
IF(Datos!G53&gt;=1,D52/3,0),
IF(Datos!F53="En_Bloque",
IF(Datos!G53=1,D52,0),
0)),0)</f>
        <v>0</v>
      </c>
      <c r="L52" s="17">
        <f>IF(Ciclo="_3_años",
IF(Datos!F53="Por_Surcos",
IF(Datos!G53&gt;=2,D52/3,0),
IF(Datos!F53="En_Bloque",
IF(Datos!G53=2,D52,0),
0)),0)</f>
        <v>0</v>
      </c>
      <c r="M52" s="9">
        <f>IF(Ciclo="_3_años",
IF(Datos!F53="Por_Surcos",
IF(Datos!G53&gt;=3,D52/3,0),
IF(Datos!F53="En_Bloque",
IF(Datos!G53=3,D52,0),
0)),0)</f>
        <v>0</v>
      </c>
      <c r="N52" s="9">
        <f>IF(Ciclo="_4_años",
IF(Datos!F53="Por_Surcos",
IF(Datos!G53&gt;=1,D52/4,0),
IF(Datos!F53="En_Bloque",
IF(Datos!G53=1,D52,0),
0)),0)</f>
        <v>0</v>
      </c>
      <c r="O52" s="9">
        <f>IF(Ciclo="_4_años",
IF(Datos!F53="Por_Surcos",
IF(Datos!G53&gt;=2,D52/4,0),
IF(Datos!F53="En_Bloque",
IF(Datos!G53=2,D52,0),
0)),0)</f>
        <v>0</v>
      </c>
      <c r="P52" s="9">
        <f>IF(Ciclo="_4_años",
IF(Datos!F53="Por_Surcos",
IF(Datos!G53&gt;=3,D52/4,0),
IF(Datos!F53="En_Bloque",
IF(Datos!G53=3,D52,0),
0)),0)</f>
        <v>0</v>
      </c>
      <c r="Q52" s="9">
        <f>IF(Ciclo="_4_años",
IF(Datos!F53="Por_Surcos",
IF(Datos!G53&gt;=4,D52/4,0),
IF(Datos!F53="En_Bloque",
IF(Datos!G53=4,D52,0),
0)),0)</f>
        <v>0</v>
      </c>
      <c r="R52" s="9">
        <f>IF(Ciclo="_5_años",
IF(Datos!F53="Por_Surcos",
IF(Datos!G53&gt;=1,D52/5,0),
IF(Datos!F53="En_Bloque",
IF(Datos!G53=1,D52,0),
0)),0)</f>
        <v>0</v>
      </c>
      <c r="S52" s="9">
        <f>IF(Ciclo="_5_años",
IF(Datos!F53="Por_Surcos",
IF(Datos!G53&gt;=2,D52/5,0),
IF(Datos!F53="En_Bloque",
IF(Datos!G53=2,D52,0),
0)),0)</f>
        <v>0</v>
      </c>
      <c r="T52" s="9">
        <f>IF(Ciclo="_5_años",
IF(Datos!F53="Por_Surcos",
IF(Datos!G53&gt;=3,D52/5,0),
IF(Datos!F53="En_Bloque",
IF(Datos!G53=3,D52,0),
0)),0)</f>
        <v>0</v>
      </c>
      <c r="U52" s="9">
        <f>IF(Ciclo="_5_años",
IF(Datos!F53="Por_Surcos",
IF(Datos!G53&gt;=4,D52/5,0),
IF(Datos!F53="En_Bloque",
IF(Datos!G53=4,D52,0),
0)),0)</f>
        <v>0</v>
      </c>
      <c r="V52" s="9">
        <f>IF(Ciclo="_5_años",
IF(Datos!F53="Por_Surcos",
IF(Datos!G53&gt;=5,D52/5,0),
IF(Datos!F53="En_Bloque",
IF(Datos!G53=5,D52,0),
0)),0)</f>
        <v>0</v>
      </c>
      <c r="W52" s="9">
        <f>(((L52*4.5)+(M52*12)+(O52*0.5)+(P52*4)+(Q52*8.5)+(S52*0.5)+(T52*4)+(U52*8.5)+(V52*6))*Datos!E53)/100</f>
        <v>0</v>
      </c>
      <c r="X52" s="6">
        <f t="shared" si="21"/>
        <v>0</v>
      </c>
      <c r="Y52" s="9">
        <f t="shared" si="45"/>
        <v>0</v>
      </c>
      <c r="Z52" s="9">
        <f t="shared" si="22"/>
        <v>0</v>
      </c>
      <c r="AA52" s="6">
        <f t="shared" si="23"/>
        <v>0</v>
      </c>
      <c r="AB52" s="9">
        <f t="shared" si="24"/>
        <v>0</v>
      </c>
      <c r="AC52" s="6">
        <f t="shared" si="25"/>
        <v>0</v>
      </c>
      <c r="AD52" s="6">
        <f t="shared" si="26"/>
        <v>0</v>
      </c>
      <c r="AE52" s="5">
        <f t="shared" si="27"/>
        <v>0</v>
      </c>
      <c r="AF52" s="5">
        <f>IF(Datos!F53="En_Bloque",0,IF(Datos!F53="Por_Surcos",IF(Datos!G53=1,E52/Plantas_Paliativa_Por_Dia,0),0))</f>
        <v>0</v>
      </c>
      <c r="AG52" s="5">
        <f t="shared" si="28"/>
        <v>0</v>
      </c>
      <c r="AH52" s="5">
        <f t="shared" si="29"/>
        <v>0</v>
      </c>
      <c r="AI52" s="5">
        <f t="shared" si="30"/>
        <v>0</v>
      </c>
      <c r="AJ52" s="5">
        <f t="shared" si="31"/>
        <v>0</v>
      </c>
      <c r="AK52" s="5">
        <f t="shared" si="32"/>
        <v>0</v>
      </c>
      <c r="AL52" s="5">
        <f t="shared" si="33"/>
        <v>0</v>
      </c>
      <c r="AM52" s="5">
        <f t="shared" si="34"/>
        <v>0</v>
      </c>
      <c r="AN52" s="5">
        <f t="shared" si="35"/>
        <v>0</v>
      </c>
      <c r="AO52" s="5">
        <f t="shared" si="36"/>
        <v>0</v>
      </c>
      <c r="AP52" s="5">
        <f t="shared" si="37"/>
        <v>0</v>
      </c>
      <c r="AQ52" s="5">
        <f t="shared" si="38"/>
        <v>0</v>
      </c>
      <c r="AR52" s="5">
        <f t="shared" si="46"/>
        <v>0</v>
      </c>
      <c r="AS52" s="6">
        <f>'Eficiencias &amp; Configuración'!B$12*Cálculos!C52</f>
        <v>0</v>
      </c>
      <c r="AT52" s="6">
        <f>IFERROR(('Eficiencias &amp; Configuración'!B$15*C52)*'Eficiencias &amp; Configuración'!B$14,0)</f>
        <v>0</v>
      </c>
      <c r="AU52">
        <f>C52*'Eficiencias &amp; Configuración'!B$16</f>
        <v>0</v>
      </c>
      <c r="AV52">
        <f>C52*'Eficiencias &amp; Configuración'!B$19</f>
        <v>0</v>
      </c>
      <c r="AW52">
        <f>(H52*Enfermedades_Crecimiento)*'Eficiencias &amp; Configuración'!B$18</f>
        <v>0</v>
      </c>
      <c r="AX52">
        <f>(I52+J52)*Enfermedades_Producción*'Eficiencias &amp; Configuración'!B$18</f>
        <v>0</v>
      </c>
      <c r="AY52" s="23">
        <f>W52*'Eficiencias &amp; Configuración'!B$24</f>
        <v>0</v>
      </c>
      <c r="AZ52" s="4">
        <f>(W52/5)*'Eficiencias &amp; Configuración'!B$25</f>
        <v>0</v>
      </c>
      <c r="BA52" s="5">
        <f t="shared" si="39"/>
        <v>0</v>
      </c>
      <c r="BB52" s="4">
        <f t="shared" si="40"/>
        <v>0</v>
      </c>
      <c r="BC52" s="4">
        <f t="shared" si="47"/>
        <v>0</v>
      </c>
      <c r="BD52" s="4">
        <f t="shared" si="41"/>
        <v>0</v>
      </c>
      <c r="BE52" s="5">
        <f t="shared" si="42"/>
        <v>0</v>
      </c>
      <c r="BF52" s="5">
        <f t="shared" si="43"/>
        <v>0</v>
      </c>
      <c r="BG52" s="5" t="e">
        <f t="shared" si="48"/>
        <v>#DIV/0!</v>
      </c>
      <c r="BH52" s="4">
        <f t="shared" si="49"/>
        <v>0</v>
      </c>
      <c r="BI52" s="4" t="e">
        <f t="shared" si="44"/>
        <v>#DIV/0!</v>
      </c>
    </row>
    <row r="53" spans="1:61" x14ac:dyDescent="0.25">
      <c r="A53" t="str">
        <f>Datos!A54</f>
        <v>Lote 50</v>
      </c>
      <c r="B53" s="6">
        <f>Datos!B54</f>
        <v>0</v>
      </c>
      <c r="C53">
        <f>_xlfn.XLOOKUP(UM,Hoja1!A$2:A$7,Hoja1!B$2:B$7)*B53</f>
        <v>0</v>
      </c>
      <c r="D53" s="9">
        <f>IFERROR((Metros2*Datos!B54/(Datos!D54*Datos!C54)),0)</f>
        <v>0</v>
      </c>
      <c r="E53" s="6">
        <f t="shared" si="15"/>
        <v>0</v>
      </c>
      <c r="F53" s="12">
        <f t="shared" si="16"/>
        <v>0</v>
      </c>
      <c r="G53" s="6">
        <f t="shared" si="17"/>
        <v>0</v>
      </c>
      <c r="H53">
        <f t="shared" si="18"/>
        <v>0</v>
      </c>
      <c r="I53">
        <f t="shared" si="19"/>
        <v>0</v>
      </c>
      <c r="J53">
        <f t="shared" si="20"/>
        <v>0</v>
      </c>
      <c r="K53" s="9">
        <f>IF(Ciclo="_3_años",
IF(Datos!F54="Por_Surcos",
IF(Datos!G54&gt;=1,D53/3,0),
IF(Datos!F54="En_Bloque",
IF(Datos!G54=1,D53,0),
0)),0)</f>
        <v>0</v>
      </c>
      <c r="L53" s="17">
        <f>IF(Ciclo="_3_años",
IF(Datos!F54="Por_Surcos",
IF(Datos!G54&gt;=2,D53/3,0),
IF(Datos!F54="En_Bloque",
IF(Datos!G54=2,D53,0),
0)),0)</f>
        <v>0</v>
      </c>
      <c r="M53" s="9">
        <f>IF(Ciclo="_3_años",
IF(Datos!F54="Por_Surcos",
IF(Datos!G54&gt;=3,D53/3,0),
IF(Datos!F54="En_Bloque",
IF(Datos!G54=3,D53,0),
0)),0)</f>
        <v>0</v>
      </c>
      <c r="N53" s="9">
        <f>IF(Ciclo="_4_años",
IF(Datos!F54="Por_Surcos",
IF(Datos!G54&gt;=1,D53/4,0),
IF(Datos!F54="En_Bloque",
IF(Datos!G54=1,D53,0),
0)),0)</f>
        <v>0</v>
      </c>
      <c r="O53" s="9">
        <f>IF(Ciclo="_4_años",
IF(Datos!F54="Por_Surcos",
IF(Datos!G54&gt;=2,D53/4,0),
IF(Datos!F54="En_Bloque",
IF(Datos!G54=2,D53,0),
0)),0)</f>
        <v>0</v>
      </c>
      <c r="P53" s="9">
        <f>IF(Ciclo="_4_años",
IF(Datos!F54="Por_Surcos",
IF(Datos!G54&gt;=3,D53/4,0),
IF(Datos!F54="En_Bloque",
IF(Datos!G54=3,D53,0),
0)),0)</f>
        <v>0</v>
      </c>
      <c r="Q53" s="9">
        <f>IF(Ciclo="_4_años",
IF(Datos!F54="Por_Surcos",
IF(Datos!G54&gt;=4,D53/4,0),
IF(Datos!F54="En_Bloque",
IF(Datos!G54=4,D53,0),
0)),0)</f>
        <v>0</v>
      </c>
      <c r="R53" s="9">
        <f>IF(Ciclo="_5_años",
IF(Datos!F54="Por_Surcos",
IF(Datos!G54&gt;=1,D53/5,0),
IF(Datos!F54="En_Bloque",
IF(Datos!G54=1,D53,0),
0)),0)</f>
        <v>0</v>
      </c>
      <c r="S53" s="9">
        <f>IF(Ciclo="_5_años",
IF(Datos!F54="Por_Surcos",
IF(Datos!G54&gt;=2,D53/5,0),
IF(Datos!F54="En_Bloque",
IF(Datos!G54=2,D53,0),
0)),0)</f>
        <v>0</v>
      </c>
      <c r="T53" s="9">
        <f>IF(Ciclo="_5_años",
IF(Datos!F54="Por_Surcos",
IF(Datos!G54&gt;=3,D53/5,0),
IF(Datos!F54="En_Bloque",
IF(Datos!G54=3,D53,0),
0)),0)</f>
        <v>0</v>
      </c>
      <c r="U53" s="9">
        <f>IF(Ciclo="_5_años",
IF(Datos!F54="Por_Surcos",
IF(Datos!G54&gt;=4,D53/5,0),
IF(Datos!F54="En_Bloque",
IF(Datos!G54=4,D53,0),
0)),0)</f>
        <v>0</v>
      </c>
      <c r="V53" s="9">
        <f>IF(Ciclo="_5_años",
IF(Datos!F54="Por_Surcos",
IF(Datos!G54&gt;=5,D53/5,0),
IF(Datos!F54="En_Bloque",
IF(Datos!G54=5,D53,0),
0)),0)</f>
        <v>0</v>
      </c>
      <c r="W53" s="9">
        <f>(((L53*4.5)+(M53*12)+(O53*0.5)+(P53*4)+(Q53*8.5)+(S53*0.5)+(T53*4)+(U53*8.5)+(V53*6))*Datos!E54)/100</f>
        <v>0</v>
      </c>
      <c r="X53" s="6">
        <f t="shared" si="21"/>
        <v>0</v>
      </c>
      <c r="Y53" s="9">
        <f t="shared" si="45"/>
        <v>0</v>
      </c>
      <c r="Z53" s="9">
        <f t="shared" si="22"/>
        <v>0</v>
      </c>
      <c r="AA53" s="6">
        <f t="shared" si="23"/>
        <v>0</v>
      </c>
      <c r="AB53" s="9">
        <f t="shared" si="24"/>
        <v>0</v>
      </c>
      <c r="AC53" s="6">
        <f t="shared" si="25"/>
        <v>0</v>
      </c>
      <c r="AD53" s="6">
        <f t="shared" si="26"/>
        <v>0</v>
      </c>
      <c r="AE53" s="5">
        <f t="shared" si="27"/>
        <v>0</v>
      </c>
      <c r="AF53" s="5">
        <f>IF(Datos!F54="En_Bloque",0,IF(Datos!F54="Por_Surcos",IF(Datos!G54=1,E53/Plantas_Paliativa_Por_Dia,0),0))</f>
        <v>0</v>
      </c>
      <c r="AG53" s="5">
        <f t="shared" si="28"/>
        <v>0</v>
      </c>
      <c r="AH53" s="5">
        <f t="shared" si="29"/>
        <v>0</v>
      </c>
      <c r="AI53" s="5">
        <f t="shared" si="30"/>
        <v>0</v>
      </c>
      <c r="AJ53" s="5">
        <f t="shared" si="31"/>
        <v>0</v>
      </c>
      <c r="AK53" s="5">
        <f t="shared" si="32"/>
        <v>0</v>
      </c>
      <c r="AL53" s="5">
        <f t="shared" si="33"/>
        <v>0</v>
      </c>
      <c r="AM53" s="5">
        <f t="shared" si="34"/>
        <v>0</v>
      </c>
      <c r="AN53" s="5">
        <f t="shared" si="35"/>
        <v>0</v>
      </c>
      <c r="AO53" s="5">
        <f t="shared" si="36"/>
        <v>0</v>
      </c>
      <c r="AP53" s="5">
        <f t="shared" si="37"/>
        <v>0</v>
      </c>
      <c r="AQ53" s="5">
        <f t="shared" si="38"/>
        <v>0</v>
      </c>
      <c r="AR53" s="5">
        <f t="shared" si="46"/>
        <v>0</v>
      </c>
      <c r="AS53" s="6">
        <f>'Eficiencias &amp; Configuración'!B$12*Cálculos!C53</f>
        <v>0</v>
      </c>
      <c r="AT53" s="6">
        <f>IFERROR(('Eficiencias &amp; Configuración'!B$15*C53)*'Eficiencias &amp; Configuración'!B$14,0)</f>
        <v>0</v>
      </c>
      <c r="AU53">
        <f>C53*'Eficiencias &amp; Configuración'!B$16</f>
        <v>0</v>
      </c>
      <c r="AV53">
        <f>C53*'Eficiencias &amp; Configuración'!B$19</f>
        <v>0</v>
      </c>
      <c r="AW53">
        <f>(H53*Enfermedades_Crecimiento)*'Eficiencias &amp; Configuración'!B$18</f>
        <v>0</v>
      </c>
      <c r="AX53">
        <f>(I53+J53)*Enfermedades_Producción*'Eficiencias &amp; Configuración'!B$18</f>
        <v>0</v>
      </c>
      <c r="AY53" s="23">
        <f>W53*'Eficiencias &amp; Configuración'!B$24</f>
        <v>0</v>
      </c>
      <c r="AZ53" s="4">
        <f>(W53/5)*'Eficiencias &amp; Configuración'!B$25</f>
        <v>0</v>
      </c>
      <c r="BA53" s="5">
        <f t="shared" si="39"/>
        <v>0</v>
      </c>
      <c r="BB53" s="4">
        <f t="shared" si="40"/>
        <v>0</v>
      </c>
      <c r="BC53" s="4">
        <f t="shared" si="47"/>
        <v>0</v>
      </c>
      <c r="BD53" s="4">
        <f t="shared" si="41"/>
        <v>0</v>
      </c>
      <c r="BE53" s="5">
        <f t="shared" si="42"/>
        <v>0</v>
      </c>
      <c r="BF53" s="5">
        <f t="shared" si="43"/>
        <v>0</v>
      </c>
      <c r="BG53" s="5" t="e">
        <f t="shared" si="48"/>
        <v>#DIV/0!</v>
      </c>
      <c r="BH53" s="4">
        <f t="shared" si="49"/>
        <v>0</v>
      </c>
      <c r="BI53" s="4" t="e">
        <f t="shared" si="44"/>
        <v>#DIV/0!</v>
      </c>
    </row>
    <row r="54" spans="1:61" x14ac:dyDescent="0.25">
      <c r="A54" t="str">
        <f>Datos!A55</f>
        <v>Lote 51</v>
      </c>
      <c r="B54" s="6">
        <f>Datos!B55</f>
        <v>0</v>
      </c>
      <c r="C54">
        <f>_xlfn.XLOOKUP(UM,Hoja1!A$2:A$7,Hoja1!B$2:B$7)*B54</f>
        <v>0</v>
      </c>
      <c r="D54" s="9">
        <f>IFERROR((Metros2*Datos!B55/(Datos!D55*Datos!C55)),0)</f>
        <v>0</v>
      </c>
      <c r="E54" s="6">
        <f t="shared" si="15"/>
        <v>0</v>
      </c>
      <c r="F54" s="12">
        <f t="shared" si="16"/>
        <v>0</v>
      </c>
      <c r="G54" s="6">
        <f t="shared" si="17"/>
        <v>0</v>
      </c>
      <c r="H54">
        <f t="shared" si="18"/>
        <v>0</v>
      </c>
      <c r="I54">
        <f t="shared" si="19"/>
        <v>0</v>
      </c>
      <c r="J54">
        <f t="shared" si="20"/>
        <v>0</v>
      </c>
      <c r="K54" s="9">
        <f>IF(Ciclo="_3_años",
IF(Datos!F55="Por_Surcos",
IF(Datos!G55&gt;=1,D54/3,0),
IF(Datos!F55="En_Bloque",
IF(Datos!G55=1,D54,0),
0)),0)</f>
        <v>0</v>
      </c>
      <c r="L54" s="17">
        <f>IF(Ciclo="_3_años",
IF(Datos!F55="Por_Surcos",
IF(Datos!G55&gt;=2,D54/3,0),
IF(Datos!F55="En_Bloque",
IF(Datos!G55=2,D54,0),
0)),0)</f>
        <v>0</v>
      </c>
      <c r="M54" s="9">
        <f>IF(Ciclo="_3_años",
IF(Datos!F55="Por_Surcos",
IF(Datos!G55&gt;=3,D54/3,0),
IF(Datos!F55="En_Bloque",
IF(Datos!G55=3,D54,0),
0)),0)</f>
        <v>0</v>
      </c>
      <c r="N54" s="9">
        <f>IF(Ciclo="_4_años",
IF(Datos!F55="Por_Surcos",
IF(Datos!G55&gt;=1,D54/4,0),
IF(Datos!F55="En_Bloque",
IF(Datos!G55=1,D54,0),
0)),0)</f>
        <v>0</v>
      </c>
      <c r="O54" s="9">
        <f>IF(Ciclo="_4_años",
IF(Datos!F55="Por_Surcos",
IF(Datos!G55&gt;=2,D54/4,0),
IF(Datos!F55="En_Bloque",
IF(Datos!G55=2,D54,0),
0)),0)</f>
        <v>0</v>
      </c>
      <c r="P54" s="9">
        <f>IF(Ciclo="_4_años",
IF(Datos!F55="Por_Surcos",
IF(Datos!G55&gt;=3,D54/4,0),
IF(Datos!F55="En_Bloque",
IF(Datos!G55=3,D54,0),
0)),0)</f>
        <v>0</v>
      </c>
      <c r="Q54" s="9">
        <f>IF(Ciclo="_4_años",
IF(Datos!F55="Por_Surcos",
IF(Datos!G55&gt;=4,D54/4,0),
IF(Datos!F55="En_Bloque",
IF(Datos!G55=4,D54,0),
0)),0)</f>
        <v>0</v>
      </c>
      <c r="R54" s="9">
        <f>IF(Ciclo="_5_años",
IF(Datos!F55="Por_Surcos",
IF(Datos!G55&gt;=1,D54/5,0),
IF(Datos!F55="En_Bloque",
IF(Datos!G55=1,D54,0),
0)),0)</f>
        <v>0</v>
      </c>
      <c r="S54" s="9">
        <f>IF(Ciclo="_5_años",
IF(Datos!F55="Por_Surcos",
IF(Datos!G55&gt;=2,D54/5,0),
IF(Datos!F55="En_Bloque",
IF(Datos!G55=2,D54,0),
0)),0)</f>
        <v>0</v>
      </c>
      <c r="T54" s="9">
        <f>IF(Ciclo="_5_años",
IF(Datos!F55="Por_Surcos",
IF(Datos!G55&gt;=3,D54/5,0),
IF(Datos!F55="En_Bloque",
IF(Datos!G55=3,D54,0),
0)),0)</f>
        <v>0</v>
      </c>
      <c r="U54" s="9">
        <f>IF(Ciclo="_5_años",
IF(Datos!F55="Por_Surcos",
IF(Datos!G55&gt;=4,D54/5,0),
IF(Datos!F55="En_Bloque",
IF(Datos!G55=4,D54,0),
0)),0)</f>
        <v>0</v>
      </c>
      <c r="V54" s="9">
        <f>IF(Ciclo="_5_años",
IF(Datos!F55="Por_Surcos",
IF(Datos!G55&gt;=5,D54/5,0),
IF(Datos!F55="En_Bloque",
IF(Datos!G55=5,D54,0),
0)),0)</f>
        <v>0</v>
      </c>
      <c r="W54" s="9">
        <f>(((L54*4.5)+(M54*12)+(O54*0.5)+(P54*4)+(Q54*8.5)+(S54*0.5)+(T54*4)+(U54*8.5)+(V54*6))*Datos!E55)/100</f>
        <v>0</v>
      </c>
      <c r="X54" s="6">
        <f t="shared" si="21"/>
        <v>0</v>
      </c>
      <c r="Y54" s="9">
        <f t="shared" si="45"/>
        <v>0</v>
      </c>
      <c r="Z54" s="9">
        <f t="shared" si="22"/>
        <v>0</v>
      </c>
      <c r="AA54" s="6">
        <f t="shared" si="23"/>
        <v>0</v>
      </c>
      <c r="AB54" s="9">
        <f t="shared" si="24"/>
        <v>0</v>
      </c>
      <c r="AC54" s="6">
        <f t="shared" si="25"/>
        <v>0</v>
      </c>
      <c r="AD54" s="6">
        <f t="shared" si="26"/>
        <v>0</v>
      </c>
      <c r="AE54" s="5">
        <f t="shared" si="27"/>
        <v>0</v>
      </c>
      <c r="AF54" s="5">
        <f>IF(Datos!F55="En_Bloque",0,IF(Datos!F55="Por_Surcos",IF(Datos!G55=1,E54/Plantas_Paliativa_Por_Dia,0),0))</f>
        <v>0</v>
      </c>
      <c r="AG54" s="5">
        <f t="shared" si="28"/>
        <v>0</v>
      </c>
      <c r="AH54" s="5">
        <f t="shared" si="29"/>
        <v>0</v>
      </c>
      <c r="AI54" s="5">
        <f t="shared" si="30"/>
        <v>0</v>
      </c>
      <c r="AJ54" s="5">
        <f t="shared" si="31"/>
        <v>0</v>
      </c>
      <c r="AK54" s="5">
        <f t="shared" si="32"/>
        <v>0</v>
      </c>
      <c r="AL54" s="5">
        <f t="shared" si="33"/>
        <v>0</v>
      </c>
      <c r="AM54" s="5">
        <f t="shared" si="34"/>
        <v>0</v>
      </c>
      <c r="AN54" s="5">
        <f t="shared" si="35"/>
        <v>0</v>
      </c>
      <c r="AO54" s="5">
        <f t="shared" si="36"/>
        <v>0</v>
      </c>
      <c r="AP54" s="5">
        <f t="shared" si="37"/>
        <v>0</v>
      </c>
      <c r="AQ54" s="5">
        <f t="shared" si="38"/>
        <v>0</v>
      </c>
      <c r="AR54" s="5">
        <f t="shared" si="46"/>
        <v>0</v>
      </c>
      <c r="AS54" s="6">
        <f>'Eficiencias &amp; Configuración'!B$12*Cálculos!C54</f>
        <v>0</v>
      </c>
      <c r="AT54" s="6">
        <f>IFERROR(('Eficiencias &amp; Configuración'!B$15*C54)*'Eficiencias &amp; Configuración'!B$14,0)</f>
        <v>0</v>
      </c>
      <c r="AU54">
        <f>C54*'Eficiencias &amp; Configuración'!B$16</f>
        <v>0</v>
      </c>
      <c r="AV54">
        <f>C54*'Eficiencias &amp; Configuración'!B$19</f>
        <v>0</v>
      </c>
      <c r="AW54">
        <f>(H54*Enfermedades_Crecimiento)*'Eficiencias &amp; Configuración'!B$18</f>
        <v>0</v>
      </c>
      <c r="AX54">
        <f>(I54+J54)*Enfermedades_Producción*'Eficiencias &amp; Configuración'!B$18</f>
        <v>0</v>
      </c>
      <c r="AY54" s="23">
        <f>W54*'Eficiencias &amp; Configuración'!B$24</f>
        <v>0</v>
      </c>
      <c r="AZ54" s="4">
        <f>(W54/5)*'Eficiencias &amp; Configuración'!B$25</f>
        <v>0</v>
      </c>
      <c r="BA54" s="5">
        <f t="shared" si="39"/>
        <v>0</v>
      </c>
      <c r="BB54" s="4">
        <f t="shared" si="40"/>
        <v>0</v>
      </c>
      <c r="BC54" s="4">
        <f t="shared" si="47"/>
        <v>0</v>
      </c>
      <c r="BD54" s="4">
        <f t="shared" si="41"/>
        <v>0</v>
      </c>
      <c r="BE54" s="5">
        <f t="shared" si="42"/>
        <v>0</v>
      </c>
      <c r="BF54" s="5">
        <f t="shared" si="43"/>
        <v>0</v>
      </c>
      <c r="BG54" s="5" t="e">
        <f t="shared" si="48"/>
        <v>#DIV/0!</v>
      </c>
      <c r="BH54" s="4">
        <f t="shared" si="49"/>
        <v>0</v>
      </c>
      <c r="BI54" s="4" t="e">
        <f t="shared" si="44"/>
        <v>#DIV/0!</v>
      </c>
    </row>
    <row r="55" spans="1:61" x14ac:dyDescent="0.25">
      <c r="A55" t="str">
        <f>Datos!A56</f>
        <v>Lote 52</v>
      </c>
      <c r="B55" s="6">
        <f>Datos!B56</f>
        <v>0</v>
      </c>
      <c r="C55">
        <f>_xlfn.XLOOKUP(UM,Hoja1!A$2:A$7,Hoja1!B$2:B$7)*B55</f>
        <v>0</v>
      </c>
      <c r="D55" s="9">
        <f>IFERROR((Metros2*Datos!B56/(Datos!D56*Datos!C56)),0)</f>
        <v>0</v>
      </c>
      <c r="E55" s="6">
        <f t="shared" si="15"/>
        <v>0</v>
      </c>
      <c r="F55" s="12">
        <f t="shared" si="16"/>
        <v>0</v>
      </c>
      <c r="G55" s="6">
        <f t="shared" si="17"/>
        <v>0</v>
      </c>
      <c r="H55">
        <f t="shared" si="18"/>
        <v>0</v>
      </c>
      <c r="I55">
        <f t="shared" si="19"/>
        <v>0</v>
      </c>
      <c r="J55">
        <f t="shared" si="20"/>
        <v>0</v>
      </c>
      <c r="K55" s="9">
        <f>IF(Ciclo="_3_años",
IF(Datos!F56="Por_Surcos",
IF(Datos!G56&gt;=1,D55/3,0),
IF(Datos!F56="En_Bloque",
IF(Datos!G56=1,D55,0),
0)),0)</f>
        <v>0</v>
      </c>
      <c r="L55" s="17">
        <f>IF(Ciclo="_3_años",
IF(Datos!F56="Por_Surcos",
IF(Datos!G56&gt;=2,D55/3,0),
IF(Datos!F56="En_Bloque",
IF(Datos!G56=2,D55,0),
0)),0)</f>
        <v>0</v>
      </c>
      <c r="M55" s="9">
        <f>IF(Ciclo="_3_años",
IF(Datos!F56="Por_Surcos",
IF(Datos!G56&gt;=3,D55/3,0),
IF(Datos!F56="En_Bloque",
IF(Datos!G56=3,D55,0),
0)),0)</f>
        <v>0</v>
      </c>
      <c r="N55" s="9">
        <f>IF(Ciclo="_4_años",
IF(Datos!F56="Por_Surcos",
IF(Datos!G56&gt;=1,D55/4,0),
IF(Datos!F56="En_Bloque",
IF(Datos!G56=1,D55,0),
0)),0)</f>
        <v>0</v>
      </c>
      <c r="O55" s="9">
        <f>IF(Ciclo="_4_años",
IF(Datos!F56="Por_Surcos",
IF(Datos!G56&gt;=2,D55/4,0),
IF(Datos!F56="En_Bloque",
IF(Datos!G56=2,D55,0),
0)),0)</f>
        <v>0</v>
      </c>
      <c r="P55" s="9">
        <f>IF(Ciclo="_4_años",
IF(Datos!F56="Por_Surcos",
IF(Datos!G56&gt;=3,D55/4,0),
IF(Datos!F56="En_Bloque",
IF(Datos!G56=3,D55,0),
0)),0)</f>
        <v>0</v>
      </c>
      <c r="Q55" s="9">
        <f>IF(Ciclo="_4_años",
IF(Datos!F56="Por_Surcos",
IF(Datos!G56&gt;=4,D55/4,0),
IF(Datos!F56="En_Bloque",
IF(Datos!G56=4,D55,0),
0)),0)</f>
        <v>0</v>
      </c>
      <c r="R55" s="9">
        <f>IF(Ciclo="_5_años",
IF(Datos!F56="Por_Surcos",
IF(Datos!G56&gt;=1,D55/5,0),
IF(Datos!F56="En_Bloque",
IF(Datos!G56=1,D55,0),
0)),0)</f>
        <v>0</v>
      </c>
      <c r="S55" s="9">
        <f>IF(Ciclo="_5_años",
IF(Datos!F56="Por_Surcos",
IF(Datos!G56&gt;=2,D55/5,0),
IF(Datos!F56="En_Bloque",
IF(Datos!G56=2,D55,0),
0)),0)</f>
        <v>0</v>
      </c>
      <c r="T55" s="9">
        <f>IF(Ciclo="_5_años",
IF(Datos!F56="Por_Surcos",
IF(Datos!G56&gt;=3,D55/5,0),
IF(Datos!F56="En_Bloque",
IF(Datos!G56=3,D55,0),
0)),0)</f>
        <v>0</v>
      </c>
      <c r="U55" s="9">
        <f>IF(Ciclo="_5_años",
IF(Datos!F56="Por_Surcos",
IF(Datos!G56&gt;=4,D55/5,0),
IF(Datos!F56="En_Bloque",
IF(Datos!G56=4,D55,0),
0)),0)</f>
        <v>0</v>
      </c>
      <c r="V55" s="9">
        <f>IF(Ciclo="_5_años",
IF(Datos!F56="Por_Surcos",
IF(Datos!G56&gt;=5,D55/5,0),
IF(Datos!F56="En_Bloque",
IF(Datos!G56=5,D55,0),
0)),0)</f>
        <v>0</v>
      </c>
      <c r="W55" s="9">
        <f>(((L55*4.5)+(M55*12)+(O55*0.5)+(P55*4)+(Q55*8.5)+(S55*0.5)+(T55*4)+(U55*8.5)+(V55*6))*Datos!E56)/100</f>
        <v>0</v>
      </c>
      <c r="X55" s="6">
        <f t="shared" si="21"/>
        <v>0</v>
      </c>
      <c r="Y55" s="9">
        <f t="shared" si="45"/>
        <v>0</v>
      </c>
      <c r="Z55" s="9">
        <f t="shared" si="22"/>
        <v>0</v>
      </c>
      <c r="AA55" s="6">
        <f t="shared" si="23"/>
        <v>0</v>
      </c>
      <c r="AB55" s="9">
        <f t="shared" si="24"/>
        <v>0</v>
      </c>
      <c r="AC55" s="6">
        <f t="shared" si="25"/>
        <v>0</v>
      </c>
      <c r="AD55" s="6">
        <f t="shared" si="26"/>
        <v>0</v>
      </c>
      <c r="AE55" s="5">
        <f t="shared" si="27"/>
        <v>0</v>
      </c>
      <c r="AF55" s="5">
        <f>IF(Datos!F56="En_Bloque",0,IF(Datos!F56="Por_Surcos",IF(Datos!G56=1,E55/Plantas_Paliativa_Por_Dia,0),0))</f>
        <v>0</v>
      </c>
      <c r="AG55" s="5">
        <f t="shared" si="28"/>
        <v>0</v>
      </c>
      <c r="AH55" s="5">
        <f t="shared" si="29"/>
        <v>0</v>
      </c>
      <c r="AI55" s="5">
        <f t="shared" si="30"/>
        <v>0</v>
      </c>
      <c r="AJ55" s="5">
        <f t="shared" si="31"/>
        <v>0</v>
      </c>
      <c r="AK55" s="5">
        <f t="shared" si="32"/>
        <v>0</v>
      </c>
      <c r="AL55" s="5">
        <f t="shared" si="33"/>
        <v>0</v>
      </c>
      <c r="AM55" s="5">
        <f t="shared" si="34"/>
        <v>0</v>
      </c>
      <c r="AN55" s="5">
        <f t="shared" si="35"/>
        <v>0</v>
      </c>
      <c r="AO55" s="5">
        <f t="shared" si="36"/>
        <v>0</v>
      </c>
      <c r="AP55" s="5">
        <f t="shared" si="37"/>
        <v>0</v>
      </c>
      <c r="AQ55" s="5">
        <f t="shared" si="38"/>
        <v>0</v>
      </c>
      <c r="AR55" s="5">
        <f t="shared" si="46"/>
        <v>0</v>
      </c>
      <c r="AS55" s="6">
        <f>'Eficiencias &amp; Configuración'!B$12*Cálculos!C55</f>
        <v>0</v>
      </c>
      <c r="AT55" s="6">
        <f>IFERROR(('Eficiencias &amp; Configuración'!B$15*C55)*'Eficiencias &amp; Configuración'!B$14,0)</f>
        <v>0</v>
      </c>
      <c r="AU55">
        <f>C55*'Eficiencias &amp; Configuración'!B$16</f>
        <v>0</v>
      </c>
      <c r="AV55">
        <f>C55*'Eficiencias &amp; Configuración'!B$19</f>
        <v>0</v>
      </c>
      <c r="AW55">
        <f>(H55*Enfermedades_Crecimiento)*'Eficiencias &amp; Configuración'!B$18</f>
        <v>0</v>
      </c>
      <c r="AX55">
        <f>(I55+J55)*Enfermedades_Producción*'Eficiencias &amp; Configuración'!B$18</f>
        <v>0</v>
      </c>
      <c r="AY55" s="23">
        <f>W55*'Eficiencias &amp; Configuración'!B$24</f>
        <v>0</v>
      </c>
      <c r="AZ55" s="4">
        <f>(W55/5)*'Eficiencias &amp; Configuración'!B$25</f>
        <v>0</v>
      </c>
      <c r="BA55" s="5">
        <f t="shared" si="39"/>
        <v>0</v>
      </c>
      <c r="BB55" s="4">
        <f t="shared" si="40"/>
        <v>0</v>
      </c>
      <c r="BC55" s="4">
        <f t="shared" si="47"/>
        <v>0</v>
      </c>
      <c r="BD55" s="4">
        <f t="shared" si="41"/>
        <v>0</v>
      </c>
      <c r="BE55" s="5">
        <f t="shared" si="42"/>
        <v>0</v>
      </c>
      <c r="BF55" s="5">
        <f t="shared" si="43"/>
        <v>0</v>
      </c>
      <c r="BG55" s="5" t="e">
        <f t="shared" si="48"/>
        <v>#DIV/0!</v>
      </c>
      <c r="BH55" s="4">
        <f t="shared" si="49"/>
        <v>0</v>
      </c>
      <c r="BI55" s="4" t="e">
        <f t="shared" si="44"/>
        <v>#DIV/0!</v>
      </c>
    </row>
    <row r="56" spans="1:61" x14ac:dyDescent="0.25">
      <c r="A56" t="str">
        <f>Datos!A57</f>
        <v>Lote 53</v>
      </c>
      <c r="B56" s="6">
        <f>Datos!B57</f>
        <v>0</v>
      </c>
      <c r="C56">
        <f>_xlfn.XLOOKUP(UM,Hoja1!A$2:A$7,Hoja1!B$2:B$7)*B56</f>
        <v>0</v>
      </c>
      <c r="D56" s="9">
        <f>IFERROR((Metros2*Datos!B57/(Datos!D57*Datos!C57)),0)</f>
        <v>0</v>
      </c>
      <c r="E56" s="6">
        <f t="shared" si="15"/>
        <v>0</v>
      </c>
      <c r="F56" s="12">
        <f t="shared" si="16"/>
        <v>0</v>
      </c>
      <c r="G56" s="6">
        <f t="shared" si="17"/>
        <v>0</v>
      </c>
      <c r="H56">
        <f t="shared" si="18"/>
        <v>0</v>
      </c>
      <c r="I56">
        <f t="shared" si="19"/>
        <v>0</v>
      </c>
      <c r="J56">
        <f t="shared" si="20"/>
        <v>0</v>
      </c>
      <c r="K56" s="9">
        <f>IF(Ciclo="_3_años",
IF(Datos!F57="Por_Surcos",
IF(Datos!G57&gt;=1,D56/3,0),
IF(Datos!F57="En_Bloque",
IF(Datos!G57=1,D56,0),
0)),0)</f>
        <v>0</v>
      </c>
      <c r="L56" s="17">
        <f>IF(Ciclo="_3_años",
IF(Datos!F57="Por_Surcos",
IF(Datos!G57&gt;=2,D56/3,0),
IF(Datos!F57="En_Bloque",
IF(Datos!G57=2,D56,0),
0)),0)</f>
        <v>0</v>
      </c>
      <c r="M56" s="9">
        <f>IF(Ciclo="_3_años",
IF(Datos!F57="Por_Surcos",
IF(Datos!G57&gt;=3,D56/3,0),
IF(Datos!F57="En_Bloque",
IF(Datos!G57=3,D56,0),
0)),0)</f>
        <v>0</v>
      </c>
      <c r="N56" s="9">
        <f>IF(Ciclo="_4_años",
IF(Datos!F57="Por_Surcos",
IF(Datos!G57&gt;=1,D56/4,0),
IF(Datos!F57="En_Bloque",
IF(Datos!G57=1,D56,0),
0)),0)</f>
        <v>0</v>
      </c>
      <c r="O56" s="9">
        <f>IF(Ciclo="_4_años",
IF(Datos!F57="Por_Surcos",
IF(Datos!G57&gt;=2,D56/4,0),
IF(Datos!F57="En_Bloque",
IF(Datos!G57=2,D56,0),
0)),0)</f>
        <v>0</v>
      </c>
      <c r="P56" s="9">
        <f>IF(Ciclo="_4_años",
IF(Datos!F57="Por_Surcos",
IF(Datos!G57&gt;=3,D56/4,0),
IF(Datos!F57="En_Bloque",
IF(Datos!G57=3,D56,0),
0)),0)</f>
        <v>0</v>
      </c>
      <c r="Q56" s="9">
        <f>IF(Ciclo="_4_años",
IF(Datos!F57="Por_Surcos",
IF(Datos!G57&gt;=4,D56/4,0),
IF(Datos!F57="En_Bloque",
IF(Datos!G57=4,D56,0),
0)),0)</f>
        <v>0</v>
      </c>
      <c r="R56" s="9">
        <f>IF(Ciclo="_5_años",
IF(Datos!F57="Por_Surcos",
IF(Datos!G57&gt;=1,D56/5,0),
IF(Datos!F57="En_Bloque",
IF(Datos!G57=1,D56,0),
0)),0)</f>
        <v>0</v>
      </c>
      <c r="S56" s="9">
        <f>IF(Ciclo="_5_años",
IF(Datos!F57="Por_Surcos",
IF(Datos!G57&gt;=2,D56/5,0),
IF(Datos!F57="En_Bloque",
IF(Datos!G57=2,D56,0),
0)),0)</f>
        <v>0</v>
      </c>
      <c r="T56" s="9">
        <f>IF(Ciclo="_5_años",
IF(Datos!F57="Por_Surcos",
IF(Datos!G57&gt;=3,D56/5,0),
IF(Datos!F57="En_Bloque",
IF(Datos!G57=3,D56,0),
0)),0)</f>
        <v>0</v>
      </c>
      <c r="U56" s="9">
        <f>IF(Ciclo="_5_años",
IF(Datos!F57="Por_Surcos",
IF(Datos!G57&gt;=4,D56/5,0),
IF(Datos!F57="En_Bloque",
IF(Datos!G57=4,D56,0),
0)),0)</f>
        <v>0</v>
      </c>
      <c r="V56" s="9">
        <f>IF(Ciclo="_5_años",
IF(Datos!F57="Por_Surcos",
IF(Datos!G57&gt;=5,D56/5,0),
IF(Datos!F57="En_Bloque",
IF(Datos!G57=5,D56,0),
0)),0)</f>
        <v>0</v>
      </c>
      <c r="W56" s="9">
        <f>(((L56*4.5)+(M56*12)+(O56*0.5)+(P56*4)+(Q56*8.5)+(S56*0.5)+(T56*4)+(U56*8.5)+(V56*6))*Datos!E57)/100</f>
        <v>0</v>
      </c>
      <c r="X56" s="6">
        <f t="shared" si="21"/>
        <v>0</v>
      </c>
      <c r="Y56" s="9">
        <f t="shared" si="45"/>
        <v>0</v>
      </c>
      <c r="Z56" s="9">
        <f t="shared" si="22"/>
        <v>0</v>
      </c>
      <c r="AA56" s="6">
        <f t="shared" si="23"/>
        <v>0</v>
      </c>
      <c r="AB56" s="9">
        <f t="shared" si="24"/>
        <v>0</v>
      </c>
      <c r="AC56" s="6">
        <f t="shared" si="25"/>
        <v>0</v>
      </c>
      <c r="AD56" s="6">
        <f t="shared" si="26"/>
        <v>0</v>
      </c>
      <c r="AE56" s="5">
        <f t="shared" si="27"/>
        <v>0</v>
      </c>
      <c r="AF56" s="5">
        <f>IF(Datos!F57="En_Bloque",0,IF(Datos!F57="Por_Surcos",IF(Datos!G57=1,E56/Plantas_Paliativa_Por_Dia,0),0))</f>
        <v>0</v>
      </c>
      <c r="AG56" s="5">
        <f t="shared" si="28"/>
        <v>0</v>
      </c>
      <c r="AH56" s="5">
        <f t="shared" si="29"/>
        <v>0</v>
      </c>
      <c r="AI56" s="5">
        <f t="shared" si="30"/>
        <v>0</v>
      </c>
      <c r="AJ56" s="5">
        <f t="shared" si="31"/>
        <v>0</v>
      </c>
      <c r="AK56" s="5">
        <f t="shared" si="32"/>
        <v>0</v>
      </c>
      <c r="AL56" s="5">
        <f t="shared" si="33"/>
        <v>0</v>
      </c>
      <c r="AM56" s="5">
        <f t="shared" si="34"/>
        <v>0</v>
      </c>
      <c r="AN56" s="5">
        <f t="shared" si="35"/>
        <v>0</v>
      </c>
      <c r="AO56" s="5">
        <f t="shared" si="36"/>
        <v>0</v>
      </c>
      <c r="AP56" s="5">
        <f t="shared" si="37"/>
        <v>0</v>
      </c>
      <c r="AQ56" s="5">
        <f t="shared" si="38"/>
        <v>0</v>
      </c>
      <c r="AR56" s="5">
        <f t="shared" si="46"/>
        <v>0</v>
      </c>
      <c r="AS56" s="6">
        <f>'Eficiencias &amp; Configuración'!B$12*Cálculos!C56</f>
        <v>0</v>
      </c>
      <c r="AT56" s="6">
        <f>IFERROR(('Eficiencias &amp; Configuración'!B$15*C56)*'Eficiencias &amp; Configuración'!B$14,0)</f>
        <v>0</v>
      </c>
      <c r="AU56">
        <f>C56*'Eficiencias &amp; Configuración'!B$16</f>
        <v>0</v>
      </c>
      <c r="AV56">
        <f>C56*'Eficiencias &amp; Configuración'!B$19</f>
        <v>0</v>
      </c>
      <c r="AW56">
        <f>(H56*Enfermedades_Crecimiento)*'Eficiencias &amp; Configuración'!B$18</f>
        <v>0</v>
      </c>
      <c r="AX56">
        <f>(I56+J56)*Enfermedades_Producción*'Eficiencias &amp; Configuración'!B$18</f>
        <v>0</v>
      </c>
      <c r="AY56" s="23">
        <f>W56*'Eficiencias &amp; Configuración'!B$24</f>
        <v>0</v>
      </c>
      <c r="AZ56" s="4">
        <f>(W56/5)*'Eficiencias &amp; Configuración'!B$25</f>
        <v>0</v>
      </c>
      <c r="BA56" s="5">
        <f t="shared" si="39"/>
        <v>0</v>
      </c>
      <c r="BB56" s="4">
        <f t="shared" si="40"/>
        <v>0</v>
      </c>
      <c r="BC56" s="4">
        <f t="shared" si="47"/>
        <v>0</v>
      </c>
      <c r="BD56" s="4">
        <f t="shared" si="41"/>
        <v>0</v>
      </c>
      <c r="BE56" s="5">
        <f t="shared" si="42"/>
        <v>0</v>
      </c>
      <c r="BF56" s="5">
        <f t="shared" si="43"/>
        <v>0</v>
      </c>
      <c r="BG56" s="5" t="e">
        <f t="shared" si="48"/>
        <v>#DIV/0!</v>
      </c>
      <c r="BH56" s="4">
        <f t="shared" si="49"/>
        <v>0</v>
      </c>
      <c r="BI56" s="4" t="e">
        <f t="shared" si="44"/>
        <v>#DIV/0!</v>
      </c>
    </row>
    <row r="57" spans="1:61" x14ac:dyDescent="0.25">
      <c r="A57" t="str">
        <f>Datos!A58</f>
        <v>Lote 54</v>
      </c>
      <c r="B57" s="6">
        <f>Datos!B58</f>
        <v>0</v>
      </c>
      <c r="C57">
        <f>_xlfn.XLOOKUP(UM,Hoja1!A$2:A$7,Hoja1!B$2:B$7)*B57</f>
        <v>0</v>
      </c>
      <c r="D57" s="9">
        <f>IFERROR((Metros2*Datos!B58/(Datos!D58*Datos!C58)),0)</f>
        <v>0</v>
      </c>
      <c r="E57" s="6">
        <f t="shared" si="15"/>
        <v>0</v>
      </c>
      <c r="F57" s="12">
        <f t="shared" si="16"/>
        <v>0</v>
      </c>
      <c r="G57" s="6">
        <f t="shared" si="17"/>
        <v>0</v>
      </c>
      <c r="H57">
        <f t="shared" si="18"/>
        <v>0</v>
      </c>
      <c r="I57">
        <f t="shared" si="19"/>
        <v>0</v>
      </c>
      <c r="J57">
        <f t="shared" si="20"/>
        <v>0</v>
      </c>
      <c r="K57" s="9">
        <f>IF(Ciclo="_3_años",
IF(Datos!F58="Por_Surcos",
IF(Datos!G58&gt;=1,D57/3,0),
IF(Datos!F58="En_Bloque",
IF(Datos!G58=1,D57,0),
0)),0)</f>
        <v>0</v>
      </c>
      <c r="L57" s="17">
        <f>IF(Ciclo="_3_años",
IF(Datos!F58="Por_Surcos",
IF(Datos!G58&gt;=2,D57/3,0),
IF(Datos!F58="En_Bloque",
IF(Datos!G58=2,D57,0),
0)),0)</f>
        <v>0</v>
      </c>
      <c r="M57" s="9">
        <f>IF(Ciclo="_3_años",
IF(Datos!F58="Por_Surcos",
IF(Datos!G58&gt;=3,D57/3,0),
IF(Datos!F58="En_Bloque",
IF(Datos!G58=3,D57,0),
0)),0)</f>
        <v>0</v>
      </c>
      <c r="N57" s="9">
        <f>IF(Ciclo="_4_años",
IF(Datos!F58="Por_Surcos",
IF(Datos!G58&gt;=1,D57/4,0),
IF(Datos!F58="En_Bloque",
IF(Datos!G58=1,D57,0),
0)),0)</f>
        <v>0</v>
      </c>
      <c r="O57" s="9">
        <f>IF(Ciclo="_4_años",
IF(Datos!F58="Por_Surcos",
IF(Datos!G58&gt;=2,D57/4,0),
IF(Datos!F58="En_Bloque",
IF(Datos!G58=2,D57,0),
0)),0)</f>
        <v>0</v>
      </c>
      <c r="P57" s="9">
        <f>IF(Ciclo="_4_años",
IF(Datos!F58="Por_Surcos",
IF(Datos!G58&gt;=3,D57/4,0),
IF(Datos!F58="En_Bloque",
IF(Datos!G58=3,D57,0),
0)),0)</f>
        <v>0</v>
      </c>
      <c r="Q57" s="9">
        <f>IF(Ciclo="_4_años",
IF(Datos!F58="Por_Surcos",
IF(Datos!G58&gt;=4,D57/4,0),
IF(Datos!F58="En_Bloque",
IF(Datos!G58=4,D57,0),
0)),0)</f>
        <v>0</v>
      </c>
      <c r="R57" s="9">
        <f>IF(Ciclo="_5_años",
IF(Datos!F58="Por_Surcos",
IF(Datos!G58&gt;=1,D57/5,0),
IF(Datos!F58="En_Bloque",
IF(Datos!G58=1,D57,0),
0)),0)</f>
        <v>0</v>
      </c>
      <c r="S57" s="9">
        <f>IF(Ciclo="_5_años",
IF(Datos!F58="Por_Surcos",
IF(Datos!G58&gt;=2,D57/5,0),
IF(Datos!F58="En_Bloque",
IF(Datos!G58=2,D57,0),
0)),0)</f>
        <v>0</v>
      </c>
      <c r="T57" s="9">
        <f>IF(Ciclo="_5_años",
IF(Datos!F58="Por_Surcos",
IF(Datos!G58&gt;=3,D57/5,0),
IF(Datos!F58="En_Bloque",
IF(Datos!G58=3,D57,0),
0)),0)</f>
        <v>0</v>
      </c>
      <c r="U57" s="9">
        <f>IF(Ciclo="_5_años",
IF(Datos!F58="Por_Surcos",
IF(Datos!G58&gt;=4,D57/5,0),
IF(Datos!F58="En_Bloque",
IF(Datos!G58=4,D57,0),
0)),0)</f>
        <v>0</v>
      </c>
      <c r="V57" s="9">
        <f>IF(Ciclo="_5_años",
IF(Datos!F58="Por_Surcos",
IF(Datos!G58&gt;=5,D57/5,0),
IF(Datos!F58="En_Bloque",
IF(Datos!G58=5,D57,0),
0)),0)</f>
        <v>0</v>
      </c>
      <c r="W57" s="9">
        <f>(((L57*4.5)+(M57*12)+(O57*0.5)+(P57*4)+(Q57*8.5)+(S57*0.5)+(T57*4)+(U57*8.5)+(V57*6))*Datos!E58)/100</f>
        <v>0</v>
      </c>
      <c r="X57" s="6">
        <f t="shared" si="21"/>
        <v>0</v>
      </c>
      <c r="Y57" s="9">
        <f t="shared" si="45"/>
        <v>0</v>
      </c>
      <c r="Z57" s="9">
        <f t="shared" si="22"/>
        <v>0</v>
      </c>
      <c r="AA57" s="6">
        <f t="shared" si="23"/>
        <v>0</v>
      </c>
      <c r="AB57" s="9">
        <f t="shared" si="24"/>
        <v>0</v>
      </c>
      <c r="AC57" s="6">
        <f t="shared" si="25"/>
        <v>0</v>
      </c>
      <c r="AD57" s="6">
        <f t="shared" si="26"/>
        <v>0</v>
      </c>
      <c r="AE57" s="5">
        <f t="shared" si="27"/>
        <v>0</v>
      </c>
      <c r="AF57" s="5">
        <f>IF(Datos!F58="En_Bloque",0,IF(Datos!F58="Por_Surcos",IF(Datos!G58=1,E57/Plantas_Paliativa_Por_Dia,0),0))</f>
        <v>0</v>
      </c>
      <c r="AG57" s="5">
        <f t="shared" si="28"/>
        <v>0</v>
      </c>
      <c r="AH57" s="5">
        <f t="shared" si="29"/>
        <v>0</v>
      </c>
      <c r="AI57" s="5">
        <f t="shared" si="30"/>
        <v>0</v>
      </c>
      <c r="AJ57" s="5">
        <f t="shared" si="31"/>
        <v>0</v>
      </c>
      <c r="AK57" s="5">
        <f t="shared" si="32"/>
        <v>0</v>
      </c>
      <c r="AL57" s="5">
        <f t="shared" si="33"/>
        <v>0</v>
      </c>
      <c r="AM57" s="5">
        <f t="shared" si="34"/>
        <v>0</v>
      </c>
      <c r="AN57" s="5">
        <f t="shared" si="35"/>
        <v>0</v>
      </c>
      <c r="AO57" s="5">
        <f t="shared" si="36"/>
        <v>0</v>
      </c>
      <c r="AP57" s="5">
        <f t="shared" si="37"/>
        <v>0</v>
      </c>
      <c r="AQ57" s="5">
        <f t="shared" si="38"/>
        <v>0</v>
      </c>
      <c r="AR57" s="5">
        <f t="shared" si="46"/>
        <v>0</v>
      </c>
      <c r="AS57" s="6">
        <f>'Eficiencias &amp; Configuración'!B$12*Cálculos!C57</f>
        <v>0</v>
      </c>
      <c r="AT57" s="6">
        <f>IFERROR(('Eficiencias &amp; Configuración'!B$15*C57)*'Eficiencias &amp; Configuración'!B$14,0)</f>
        <v>0</v>
      </c>
      <c r="AU57">
        <f>C57*'Eficiencias &amp; Configuración'!B$16</f>
        <v>0</v>
      </c>
      <c r="AV57">
        <f>C57*'Eficiencias &amp; Configuración'!B$19</f>
        <v>0</v>
      </c>
      <c r="AW57">
        <f>(H57*Enfermedades_Crecimiento)*'Eficiencias &amp; Configuración'!B$18</f>
        <v>0</v>
      </c>
      <c r="AX57">
        <f>(I57+J57)*Enfermedades_Producción*'Eficiencias &amp; Configuración'!B$18</f>
        <v>0</v>
      </c>
      <c r="AY57" s="23">
        <f>W57*'Eficiencias &amp; Configuración'!B$24</f>
        <v>0</v>
      </c>
      <c r="AZ57" s="4">
        <f>(W57/5)*'Eficiencias &amp; Configuración'!B$25</f>
        <v>0</v>
      </c>
      <c r="BA57" s="5">
        <f t="shared" si="39"/>
        <v>0</v>
      </c>
      <c r="BB57" s="4">
        <f t="shared" si="40"/>
        <v>0</v>
      </c>
      <c r="BC57" s="4">
        <f t="shared" si="47"/>
        <v>0</v>
      </c>
      <c r="BD57" s="4">
        <f t="shared" si="41"/>
        <v>0</v>
      </c>
      <c r="BE57" s="5">
        <f t="shared" si="42"/>
        <v>0</v>
      </c>
      <c r="BF57" s="5">
        <f t="shared" si="43"/>
        <v>0</v>
      </c>
      <c r="BG57" s="5" t="e">
        <f t="shared" si="48"/>
        <v>#DIV/0!</v>
      </c>
      <c r="BH57" s="4">
        <f t="shared" si="49"/>
        <v>0</v>
      </c>
      <c r="BI57" s="4" t="e">
        <f t="shared" si="44"/>
        <v>#DIV/0!</v>
      </c>
    </row>
    <row r="58" spans="1:61" x14ac:dyDescent="0.25">
      <c r="A58" t="str">
        <f>Datos!A59</f>
        <v>Lote 55</v>
      </c>
      <c r="B58" s="6">
        <f>Datos!B59</f>
        <v>0</v>
      </c>
      <c r="C58">
        <f>_xlfn.XLOOKUP(UM,Hoja1!A$2:A$7,Hoja1!B$2:B$7)*B58</f>
        <v>0</v>
      </c>
      <c r="D58" s="9">
        <f>IFERROR((Metros2*Datos!B59/(Datos!D59*Datos!C59)),0)</f>
        <v>0</v>
      </c>
      <c r="E58" s="6">
        <f t="shared" si="15"/>
        <v>0</v>
      </c>
      <c r="F58" s="12">
        <f t="shared" si="16"/>
        <v>0</v>
      </c>
      <c r="G58" s="6">
        <f t="shared" si="17"/>
        <v>0</v>
      </c>
      <c r="H58">
        <f t="shared" si="18"/>
        <v>0</v>
      </c>
      <c r="I58">
        <f t="shared" si="19"/>
        <v>0</v>
      </c>
      <c r="J58">
        <f t="shared" si="20"/>
        <v>0</v>
      </c>
      <c r="K58" s="9">
        <f>IF(Ciclo="_3_años",
IF(Datos!F59="Por_Surcos",
IF(Datos!G59&gt;=1,D58/3,0),
IF(Datos!F59="En_Bloque",
IF(Datos!G59=1,D58,0),
0)),0)</f>
        <v>0</v>
      </c>
      <c r="L58" s="17">
        <f>IF(Ciclo="_3_años",
IF(Datos!F59="Por_Surcos",
IF(Datos!G59&gt;=2,D58/3,0),
IF(Datos!F59="En_Bloque",
IF(Datos!G59=2,D58,0),
0)),0)</f>
        <v>0</v>
      </c>
      <c r="M58" s="9">
        <f>IF(Ciclo="_3_años",
IF(Datos!F59="Por_Surcos",
IF(Datos!G59&gt;=3,D58/3,0),
IF(Datos!F59="En_Bloque",
IF(Datos!G59=3,D58,0),
0)),0)</f>
        <v>0</v>
      </c>
      <c r="N58" s="9">
        <f>IF(Ciclo="_4_años",
IF(Datos!F59="Por_Surcos",
IF(Datos!G59&gt;=1,D58/4,0),
IF(Datos!F59="En_Bloque",
IF(Datos!G59=1,D58,0),
0)),0)</f>
        <v>0</v>
      </c>
      <c r="O58" s="9">
        <f>IF(Ciclo="_4_años",
IF(Datos!F59="Por_Surcos",
IF(Datos!G59&gt;=2,D58/4,0),
IF(Datos!F59="En_Bloque",
IF(Datos!G59=2,D58,0),
0)),0)</f>
        <v>0</v>
      </c>
      <c r="P58" s="9">
        <f>IF(Ciclo="_4_años",
IF(Datos!F59="Por_Surcos",
IF(Datos!G59&gt;=3,D58/4,0),
IF(Datos!F59="En_Bloque",
IF(Datos!G59=3,D58,0),
0)),0)</f>
        <v>0</v>
      </c>
      <c r="Q58" s="9">
        <f>IF(Ciclo="_4_años",
IF(Datos!F59="Por_Surcos",
IF(Datos!G59&gt;=4,D58/4,0),
IF(Datos!F59="En_Bloque",
IF(Datos!G59=4,D58,0),
0)),0)</f>
        <v>0</v>
      </c>
      <c r="R58" s="9">
        <f>IF(Ciclo="_5_años",
IF(Datos!F59="Por_Surcos",
IF(Datos!G59&gt;=1,D58/5,0),
IF(Datos!F59="En_Bloque",
IF(Datos!G59=1,D58,0),
0)),0)</f>
        <v>0</v>
      </c>
      <c r="S58" s="9">
        <f>IF(Ciclo="_5_años",
IF(Datos!F59="Por_Surcos",
IF(Datos!G59&gt;=2,D58/5,0),
IF(Datos!F59="En_Bloque",
IF(Datos!G59=2,D58,0),
0)),0)</f>
        <v>0</v>
      </c>
      <c r="T58" s="9">
        <f>IF(Ciclo="_5_años",
IF(Datos!F59="Por_Surcos",
IF(Datos!G59&gt;=3,D58/5,0),
IF(Datos!F59="En_Bloque",
IF(Datos!G59=3,D58,0),
0)),0)</f>
        <v>0</v>
      </c>
      <c r="U58" s="9">
        <f>IF(Ciclo="_5_años",
IF(Datos!F59="Por_Surcos",
IF(Datos!G59&gt;=4,D58/5,0),
IF(Datos!F59="En_Bloque",
IF(Datos!G59=4,D58,0),
0)),0)</f>
        <v>0</v>
      </c>
      <c r="V58" s="9">
        <f>IF(Ciclo="_5_años",
IF(Datos!F59="Por_Surcos",
IF(Datos!G59&gt;=5,D58/5,0),
IF(Datos!F59="En_Bloque",
IF(Datos!G59=5,D58,0),
0)),0)</f>
        <v>0</v>
      </c>
      <c r="W58" s="9">
        <f>(((L58*4.5)+(M58*12)+(O58*0.5)+(P58*4)+(Q58*8.5)+(S58*0.5)+(T58*4)+(U58*8.5)+(V58*6))*Datos!E59)/100</f>
        <v>0</v>
      </c>
      <c r="X58" s="6">
        <f t="shared" si="21"/>
        <v>0</v>
      </c>
      <c r="Y58" s="9">
        <f t="shared" si="45"/>
        <v>0</v>
      </c>
      <c r="Z58" s="9">
        <f t="shared" si="22"/>
        <v>0</v>
      </c>
      <c r="AA58" s="6">
        <f t="shared" si="23"/>
        <v>0</v>
      </c>
      <c r="AB58" s="9">
        <f t="shared" si="24"/>
        <v>0</v>
      </c>
      <c r="AC58" s="6">
        <f t="shared" si="25"/>
        <v>0</v>
      </c>
      <c r="AD58" s="6">
        <f t="shared" si="26"/>
        <v>0</v>
      </c>
      <c r="AE58" s="5">
        <f t="shared" si="27"/>
        <v>0</v>
      </c>
      <c r="AF58" s="5">
        <f>IF(Datos!F59="En_Bloque",0,IF(Datos!F59="Por_Surcos",IF(Datos!G59=1,E58/Plantas_Paliativa_Por_Dia,0),0))</f>
        <v>0</v>
      </c>
      <c r="AG58" s="5">
        <f t="shared" si="28"/>
        <v>0</v>
      </c>
      <c r="AH58" s="5">
        <f t="shared" si="29"/>
        <v>0</v>
      </c>
      <c r="AI58" s="5">
        <f t="shared" si="30"/>
        <v>0</v>
      </c>
      <c r="AJ58" s="5">
        <f t="shared" si="31"/>
        <v>0</v>
      </c>
      <c r="AK58" s="5">
        <f t="shared" si="32"/>
        <v>0</v>
      </c>
      <c r="AL58" s="5">
        <f t="shared" si="33"/>
        <v>0</v>
      </c>
      <c r="AM58" s="5">
        <f t="shared" si="34"/>
        <v>0</v>
      </c>
      <c r="AN58" s="5">
        <f t="shared" si="35"/>
        <v>0</v>
      </c>
      <c r="AO58" s="5">
        <f t="shared" si="36"/>
        <v>0</v>
      </c>
      <c r="AP58" s="5">
        <f t="shared" si="37"/>
        <v>0</v>
      </c>
      <c r="AQ58" s="5">
        <f t="shared" si="38"/>
        <v>0</v>
      </c>
      <c r="AR58" s="5">
        <f t="shared" si="46"/>
        <v>0</v>
      </c>
      <c r="AS58" s="6">
        <f>'Eficiencias &amp; Configuración'!B$12*Cálculos!C58</f>
        <v>0</v>
      </c>
      <c r="AT58" s="6">
        <f>IFERROR(('Eficiencias &amp; Configuración'!B$15*C58)*'Eficiencias &amp; Configuración'!B$14,0)</f>
        <v>0</v>
      </c>
      <c r="AU58">
        <f>C58*'Eficiencias &amp; Configuración'!B$16</f>
        <v>0</v>
      </c>
      <c r="AV58">
        <f>C58*'Eficiencias &amp; Configuración'!B$19</f>
        <v>0</v>
      </c>
      <c r="AW58">
        <f>(H58*Enfermedades_Crecimiento)*'Eficiencias &amp; Configuración'!B$18</f>
        <v>0</v>
      </c>
      <c r="AX58">
        <f>(I58+J58)*Enfermedades_Producción*'Eficiencias &amp; Configuración'!B$18</f>
        <v>0</v>
      </c>
      <c r="AY58" s="23">
        <f>W58*'Eficiencias &amp; Configuración'!B$24</f>
        <v>0</v>
      </c>
      <c r="AZ58" s="4">
        <f>(W58/5)*'Eficiencias &amp; Configuración'!B$25</f>
        <v>0</v>
      </c>
      <c r="BA58" s="5">
        <f t="shared" si="39"/>
        <v>0</v>
      </c>
      <c r="BB58" s="4">
        <f t="shared" si="40"/>
        <v>0</v>
      </c>
      <c r="BC58" s="4">
        <f t="shared" si="47"/>
        <v>0</v>
      </c>
      <c r="BD58" s="4">
        <f t="shared" si="41"/>
        <v>0</v>
      </c>
      <c r="BE58" s="5">
        <f t="shared" si="42"/>
        <v>0</v>
      </c>
      <c r="BF58" s="5">
        <f t="shared" si="43"/>
        <v>0</v>
      </c>
      <c r="BG58" s="5" t="e">
        <f t="shared" si="48"/>
        <v>#DIV/0!</v>
      </c>
      <c r="BH58" s="4">
        <f t="shared" si="49"/>
        <v>0</v>
      </c>
      <c r="BI58" s="4" t="e">
        <f t="shared" si="44"/>
        <v>#DIV/0!</v>
      </c>
    </row>
    <row r="59" spans="1:61" x14ac:dyDescent="0.25">
      <c r="A59" t="str">
        <f>Datos!A60</f>
        <v>Lote 56</v>
      </c>
      <c r="B59" s="6">
        <f>Datos!B60</f>
        <v>0</v>
      </c>
      <c r="C59">
        <f>_xlfn.XLOOKUP(UM,Hoja1!A$2:A$7,Hoja1!B$2:B$7)*B59</f>
        <v>0</v>
      </c>
      <c r="D59" s="9">
        <f>IFERROR((Metros2*Datos!B60/(Datos!D60*Datos!C60)),0)</f>
        <v>0</v>
      </c>
      <c r="E59" s="6">
        <f t="shared" si="15"/>
        <v>0</v>
      </c>
      <c r="F59" s="12">
        <f t="shared" si="16"/>
        <v>0</v>
      </c>
      <c r="G59" s="6">
        <f t="shared" si="17"/>
        <v>0</v>
      </c>
      <c r="H59">
        <f t="shared" si="18"/>
        <v>0</v>
      </c>
      <c r="I59">
        <f t="shared" si="19"/>
        <v>0</v>
      </c>
      <c r="J59">
        <f t="shared" si="20"/>
        <v>0</v>
      </c>
      <c r="K59" s="9">
        <f>IF(Ciclo="_3_años",
IF(Datos!F60="Por_Surcos",
IF(Datos!G60&gt;=1,D59/3,0),
IF(Datos!F60="En_Bloque",
IF(Datos!G60=1,D59,0),
0)),0)</f>
        <v>0</v>
      </c>
      <c r="L59" s="17">
        <f>IF(Ciclo="_3_años",
IF(Datos!F60="Por_Surcos",
IF(Datos!G60&gt;=2,D59/3,0),
IF(Datos!F60="En_Bloque",
IF(Datos!G60=2,D59,0),
0)),0)</f>
        <v>0</v>
      </c>
      <c r="M59" s="9">
        <f>IF(Ciclo="_3_años",
IF(Datos!F60="Por_Surcos",
IF(Datos!G60&gt;=3,D59/3,0),
IF(Datos!F60="En_Bloque",
IF(Datos!G60=3,D59,0),
0)),0)</f>
        <v>0</v>
      </c>
      <c r="N59" s="9">
        <f>IF(Ciclo="_4_años",
IF(Datos!F60="Por_Surcos",
IF(Datos!G60&gt;=1,D59/4,0),
IF(Datos!F60="En_Bloque",
IF(Datos!G60=1,D59,0),
0)),0)</f>
        <v>0</v>
      </c>
      <c r="O59" s="9">
        <f>IF(Ciclo="_4_años",
IF(Datos!F60="Por_Surcos",
IF(Datos!G60&gt;=2,D59/4,0),
IF(Datos!F60="En_Bloque",
IF(Datos!G60=2,D59,0),
0)),0)</f>
        <v>0</v>
      </c>
      <c r="P59" s="9">
        <f>IF(Ciclo="_4_años",
IF(Datos!F60="Por_Surcos",
IF(Datos!G60&gt;=3,D59/4,0),
IF(Datos!F60="En_Bloque",
IF(Datos!G60=3,D59,0),
0)),0)</f>
        <v>0</v>
      </c>
      <c r="Q59" s="9">
        <f>IF(Ciclo="_4_años",
IF(Datos!F60="Por_Surcos",
IF(Datos!G60&gt;=4,D59/4,0),
IF(Datos!F60="En_Bloque",
IF(Datos!G60=4,D59,0),
0)),0)</f>
        <v>0</v>
      </c>
      <c r="R59" s="9">
        <f>IF(Ciclo="_5_años",
IF(Datos!F60="Por_Surcos",
IF(Datos!G60&gt;=1,D59/5,0),
IF(Datos!F60="En_Bloque",
IF(Datos!G60=1,D59,0),
0)),0)</f>
        <v>0</v>
      </c>
      <c r="S59" s="9">
        <f>IF(Ciclo="_5_años",
IF(Datos!F60="Por_Surcos",
IF(Datos!G60&gt;=2,D59/5,0),
IF(Datos!F60="En_Bloque",
IF(Datos!G60=2,D59,0),
0)),0)</f>
        <v>0</v>
      </c>
      <c r="T59" s="9">
        <f>IF(Ciclo="_5_años",
IF(Datos!F60="Por_Surcos",
IF(Datos!G60&gt;=3,D59/5,0),
IF(Datos!F60="En_Bloque",
IF(Datos!G60=3,D59,0),
0)),0)</f>
        <v>0</v>
      </c>
      <c r="U59" s="9">
        <f>IF(Ciclo="_5_años",
IF(Datos!F60="Por_Surcos",
IF(Datos!G60&gt;=4,D59/5,0),
IF(Datos!F60="En_Bloque",
IF(Datos!G60=4,D59,0),
0)),0)</f>
        <v>0</v>
      </c>
      <c r="V59" s="9">
        <f>IF(Ciclo="_5_años",
IF(Datos!F60="Por_Surcos",
IF(Datos!G60&gt;=5,D59/5,0),
IF(Datos!F60="En_Bloque",
IF(Datos!G60=5,D59,0),
0)),0)</f>
        <v>0</v>
      </c>
      <c r="W59" s="9">
        <f>(((L59*4.5)+(M59*12)+(O59*0.5)+(P59*4)+(Q59*8.5)+(S59*0.5)+(T59*4)+(U59*8.5)+(V59*6))*Datos!E60)/100</f>
        <v>0</v>
      </c>
      <c r="X59" s="6">
        <f t="shared" si="21"/>
        <v>0</v>
      </c>
      <c r="Y59" s="9">
        <f t="shared" si="45"/>
        <v>0</v>
      </c>
      <c r="Z59" s="9">
        <f t="shared" si="22"/>
        <v>0</v>
      </c>
      <c r="AA59" s="6">
        <f t="shared" si="23"/>
        <v>0</v>
      </c>
      <c r="AB59" s="9">
        <f t="shared" si="24"/>
        <v>0</v>
      </c>
      <c r="AC59" s="6">
        <f t="shared" si="25"/>
        <v>0</v>
      </c>
      <c r="AD59" s="6">
        <f t="shared" si="26"/>
        <v>0</v>
      </c>
      <c r="AE59" s="5">
        <f t="shared" si="27"/>
        <v>0</v>
      </c>
      <c r="AF59" s="5">
        <f>IF(Datos!F60="En_Bloque",0,IF(Datos!F60="Por_Surcos",IF(Datos!G60=1,E59/Plantas_Paliativa_Por_Dia,0),0))</f>
        <v>0</v>
      </c>
      <c r="AG59" s="5">
        <f t="shared" si="28"/>
        <v>0</v>
      </c>
      <c r="AH59" s="5">
        <f t="shared" si="29"/>
        <v>0</v>
      </c>
      <c r="AI59" s="5">
        <f t="shared" si="30"/>
        <v>0</v>
      </c>
      <c r="AJ59" s="5">
        <f t="shared" si="31"/>
        <v>0</v>
      </c>
      <c r="AK59" s="5">
        <f t="shared" si="32"/>
        <v>0</v>
      </c>
      <c r="AL59" s="5">
        <f t="shared" si="33"/>
        <v>0</v>
      </c>
      <c r="AM59" s="5">
        <f t="shared" si="34"/>
        <v>0</v>
      </c>
      <c r="AN59" s="5">
        <f t="shared" si="35"/>
        <v>0</v>
      </c>
      <c r="AO59" s="5">
        <f t="shared" si="36"/>
        <v>0</v>
      </c>
      <c r="AP59" s="5">
        <f t="shared" si="37"/>
        <v>0</v>
      </c>
      <c r="AQ59" s="5">
        <f t="shared" si="38"/>
        <v>0</v>
      </c>
      <c r="AR59" s="5">
        <f t="shared" si="46"/>
        <v>0</v>
      </c>
      <c r="AS59" s="6">
        <f>'Eficiencias &amp; Configuración'!B$12*Cálculos!C59</f>
        <v>0</v>
      </c>
      <c r="AT59" s="6">
        <f>IFERROR(('Eficiencias &amp; Configuración'!B$15*C59)*'Eficiencias &amp; Configuración'!B$14,0)</f>
        <v>0</v>
      </c>
      <c r="AU59">
        <f>C59*'Eficiencias &amp; Configuración'!B$16</f>
        <v>0</v>
      </c>
      <c r="AV59">
        <f>C59*'Eficiencias &amp; Configuración'!B$19</f>
        <v>0</v>
      </c>
      <c r="AW59">
        <f>(H59*Enfermedades_Crecimiento)*'Eficiencias &amp; Configuración'!B$18</f>
        <v>0</v>
      </c>
      <c r="AX59">
        <f>(I59+J59)*Enfermedades_Producción*'Eficiencias &amp; Configuración'!B$18</f>
        <v>0</v>
      </c>
      <c r="AY59" s="23">
        <f>W59*'Eficiencias &amp; Configuración'!B$24</f>
        <v>0</v>
      </c>
      <c r="AZ59" s="4">
        <f>(W59/5)*'Eficiencias &amp; Configuración'!B$25</f>
        <v>0</v>
      </c>
      <c r="BA59" s="5">
        <f t="shared" si="39"/>
        <v>0</v>
      </c>
      <c r="BB59" s="4">
        <f t="shared" si="40"/>
        <v>0</v>
      </c>
      <c r="BC59" s="4">
        <f t="shared" si="47"/>
        <v>0</v>
      </c>
      <c r="BD59" s="4">
        <f t="shared" si="41"/>
        <v>0</v>
      </c>
      <c r="BE59" s="5">
        <f t="shared" si="42"/>
        <v>0</v>
      </c>
      <c r="BF59" s="5">
        <f t="shared" si="43"/>
        <v>0</v>
      </c>
      <c r="BG59" s="5" t="e">
        <f t="shared" si="48"/>
        <v>#DIV/0!</v>
      </c>
      <c r="BH59" s="4">
        <f t="shared" si="49"/>
        <v>0</v>
      </c>
      <c r="BI59" s="4" t="e">
        <f t="shared" si="44"/>
        <v>#DIV/0!</v>
      </c>
    </row>
    <row r="60" spans="1:61" x14ac:dyDescent="0.25">
      <c r="A60" t="str">
        <f>Datos!A61</f>
        <v>Lote 57</v>
      </c>
      <c r="B60" s="6">
        <f>Datos!B61</f>
        <v>0</v>
      </c>
      <c r="C60">
        <f>_xlfn.XLOOKUP(UM,Hoja1!A$2:A$7,Hoja1!B$2:B$7)*B60</f>
        <v>0</v>
      </c>
      <c r="D60" s="9">
        <f>IFERROR((Metros2*Datos!B61/(Datos!D61*Datos!C61)),0)</f>
        <v>0</v>
      </c>
      <c r="E60" s="6">
        <f t="shared" si="15"/>
        <v>0</v>
      </c>
      <c r="F60" s="12">
        <f t="shared" si="16"/>
        <v>0</v>
      </c>
      <c r="G60" s="6">
        <f t="shared" si="17"/>
        <v>0</v>
      </c>
      <c r="H60">
        <f t="shared" si="18"/>
        <v>0</v>
      </c>
      <c r="I60">
        <f t="shared" si="19"/>
        <v>0</v>
      </c>
      <c r="J60">
        <f t="shared" si="20"/>
        <v>0</v>
      </c>
      <c r="K60" s="9">
        <f>IF(Ciclo="_3_años",
IF(Datos!F61="Por_Surcos",
IF(Datos!G61&gt;=1,D60/3,0),
IF(Datos!F61="En_Bloque",
IF(Datos!G61=1,D60,0),
0)),0)</f>
        <v>0</v>
      </c>
      <c r="L60" s="17">
        <f>IF(Ciclo="_3_años",
IF(Datos!F61="Por_Surcos",
IF(Datos!G61&gt;=2,D60/3,0),
IF(Datos!F61="En_Bloque",
IF(Datos!G61=2,D60,0),
0)),0)</f>
        <v>0</v>
      </c>
      <c r="M60" s="9">
        <f>IF(Ciclo="_3_años",
IF(Datos!F61="Por_Surcos",
IF(Datos!G61&gt;=3,D60/3,0),
IF(Datos!F61="En_Bloque",
IF(Datos!G61=3,D60,0),
0)),0)</f>
        <v>0</v>
      </c>
      <c r="N60" s="9">
        <f>IF(Ciclo="_4_años",
IF(Datos!F61="Por_Surcos",
IF(Datos!G61&gt;=1,D60/4,0),
IF(Datos!F61="En_Bloque",
IF(Datos!G61=1,D60,0),
0)),0)</f>
        <v>0</v>
      </c>
      <c r="O60" s="9">
        <f>IF(Ciclo="_4_años",
IF(Datos!F61="Por_Surcos",
IF(Datos!G61&gt;=2,D60/4,0),
IF(Datos!F61="En_Bloque",
IF(Datos!G61=2,D60,0),
0)),0)</f>
        <v>0</v>
      </c>
      <c r="P60" s="9">
        <f>IF(Ciclo="_4_años",
IF(Datos!F61="Por_Surcos",
IF(Datos!G61&gt;=3,D60/4,0),
IF(Datos!F61="En_Bloque",
IF(Datos!G61=3,D60,0),
0)),0)</f>
        <v>0</v>
      </c>
      <c r="Q60" s="9">
        <f>IF(Ciclo="_4_años",
IF(Datos!F61="Por_Surcos",
IF(Datos!G61&gt;=4,D60/4,0),
IF(Datos!F61="En_Bloque",
IF(Datos!G61=4,D60,0),
0)),0)</f>
        <v>0</v>
      </c>
      <c r="R60" s="9">
        <f>IF(Ciclo="_5_años",
IF(Datos!F61="Por_Surcos",
IF(Datos!G61&gt;=1,D60/5,0),
IF(Datos!F61="En_Bloque",
IF(Datos!G61=1,D60,0),
0)),0)</f>
        <v>0</v>
      </c>
      <c r="S60" s="9">
        <f>IF(Ciclo="_5_años",
IF(Datos!F61="Por_Surcos",
IF(Datos!G61&gt;=2,D60/5,0),
IF(Datos!F61="En_Bloque",
IF(Datos!G61=2,D60,0),
0)),0)</f>
        <v>0</v>
      </c>
      <c r="T60" s="9">
        <f>IF(Ciclo="_5_años",
IF(Datos!F61="Por_Surcos",
IF(Datos!G61&gt;=3,D60/5,0),
IF(Datos!F61="En_Bloque",
IF(Datos!G61=3,D60,0),
0)),0)</f>
        <v>0</v>
      </c>
      <c r="U60" s="9">
        <f>IF(Ciclo="_5_años",
IF(Datos!F61="Por_Surcos",
IF(Datos!G61&gt;=4,D60/5,0),
IF(Datos!F61="En_Bloque",
IF(Datos!G61=4,D60,0),
0)),0)</f>
        <v>0</v>
      </c>
      <c r="V60" s="9">
        <f>IF(Ciclo="_5_años",
IF(Datos!F61="Por_Surcos",
IF(Datos!G61&gt;=5,D60/5,0),
IF(Datos!F61="En_Bloque",
IF(Datos!G61=5,D60,0),
0)),0)</f>
        <v>0</v>
      </c>
      <c r="W60" s="9">
        <f>(((L60*4.5)+(M60*12)+(O60*0.5)+(P60*4)+(Q60*8.5)+(S60*0.5)+(T60*4)+(U60*8.5)+(V60*6))*Datos!E61)/100</f>
        <v>0</v>
      </c>
      <c r="X60" s="6">
        <f t="shared" si="21"/>
        <v>0</v>
      </c>
      <c r="Y60" s="9">
        <f t="shared" si="45"/>
        <v>0</v>
      </c>
      <c r="Z60" s="9">
        <f t="shared" si="22"/>
        <v>0</v>
      </c>
      <c r="AA60" s="6">
        <f t="shared" si="23"/>
        <v>0</v>
      </c>
      <c r="AB60" s="9">
        <f t="shared" si="24"/>
        <v>0</v>
      </c>
      <c r="AC60" s="6">
        <f t="shared" si="25"/>
        <v>0</v>
      </c>
      <c r="AD60" s="6">
        <f t="shared" si="26"/>
        <v>0</v>
      </c>
      <c r="AE60" s="5">
        <f t="shared" si="27"/>
        <v>0</v>
      </c>
      <c r="AF60" s="5">
        <f>IF(Datos!F61="En_Bloque",0,IF(Datos!F61="Por_Surcos",IF(Datos!G61=1,E60/Plantas_Paliativa_Por_Dia,0),0))</f>
        <v>0</v>
      </c>
      <c r="AG60" s="5">
        <f t="shared" si="28"/>
        <v>0</v>
      </c>
      <c r="AH60" s="5">
        <f t="shared" si="29"/>
        <v>0</v>
      </c>
      <c r="AI60" s="5">
        <f t="shared" si="30"/>
        <v>0</v>
      </c>
      <c r="AJ60" s="5">
        <f t="shared" si="31"/>
        <v>0</v>
      </c>
      <c r="AK60" s="5">
        <f t="shared" si="32"/>
        <v>0</v>
      </c>
      <c r="AL60" s="5">
        <f t="shared" si="33"/>
        <v>0</v>
      </c>
      <c r="AM60" s="5">
        <f t="shared" si="34"/>
        <v>0</v>
      </c>
      <c r="AN60" s="5">
        <f t="shared" si="35"/>
        <v>0</v>
      </c>
      <c r="AO60" s="5">
        <f t="shared" si="36"/>
        <v>0</v>
      </c>
      <c r="AP60" s="5">
        <f t="shared" si="37"/>
        <v>0</v>
      </c>
      <c r="AQ60" s="5">
        <f t="shared" si="38"/>
        <v>0</v>
      </c>
      <c r="AR60" s="5">
        <f t="shared" si="46"/>
        <v>0</v>
      </c>
      <c r="AS60" s="6">
        <f>'Eficiencias &amp; Configuración'!B$12*Cálculos!C60</f>
        <v>0</v>
      </c>
      <c r="AT60" s="6">
        <f>IFERROR(('Eficiencias &amp; Configuración'!B$15*C60)*'Eficiencias &amp; Configuración'!B$14,0)</f>
        <v>0</v>
      </c>
      <c r="AU60">
        <f>C60*'Eficiencias &amp; Configuración'!B$16</f>
        <v>0</v>
      </c>
      <c r="AV60">
        <f>C60*'Eficiencias &amp; Configuración'!B$19</f>
        <v>0</v>
      </c>
      <c r="AW60">
        <f>(H60*Enfermedades_Crecimiento)*'Eficiencias &amp; Configuración'!B$18</f>
        <v>0</v>
      </c>
      <c r="AX60">
        <f>(I60+J60)*Enfermedades_Producción*'Eficiencias &amp; Configuración'!B$18</f>
        <v>0</v>
      </c>
      <c r="AY60" s="23">
        <f>W60*'Eficiencias &amp; Configuración'!B$24</f>
        <v>0</v>
      </c>
      <c r="AZ60" s="4">
        <f>(W60/5)*'Eficiencias &amp; Configuración'!B$25</f>
        <v>0</v>
      </c>
      <c r="BA60" s="5">
        <f t="shared" si="39"/>
        <v>0</v>
      </c>
      <c r="BB60" s="4">
        <f t="shared" si="40"/>
        <v>0</v>
      </c>
      <c r="BC60" s="4">
        <f t="shared" si="47"/>
        <v>0</v>
      </c>
      <c r="BD60" s="4">
        <f t="shared" si="41"/>
        <v>0</v>
      </c>
      <c r="BE60" s="5">
        <f t="shared" si="42"/>
        <v>0</v>
      </c>
      <c r="BF60" s="5">
        <f t="shared" si="43"/>
        <v>0</v>
      </c>
      <c r="BG60" s="5" t="e">
        <f t="shared" si="48"/>
        <v>#DIV/0!</v>
      </c>
      <c r="BH60" s="4">
        <f t="shared" si="49"/>
        <v>0</v>
      </c>
      <c r="BI60" s="4" t="e">
        <f t="shared" si="44"/>
        <v>#DIV/0!</v>
      </c>
    </row>
    <row r="61" spans="1:61" x14ac:dyDescent="0.25">
      <c r="A61" t="str">
        <f>Datos!A62</f>
        <v>Lote 58</v>
      </c>
      <c r="B61" s="6">
        <f>Datos!B62</f>
        <v>0</v>
      </c>
      <c r="C61">
        <f>_xlfn.XLOOKUP(UM,Hoja1!A$2:A$7,Hoja1!B$2:B$7)*B61</f>
        <v>0</v>
      </c>
      <c r="D61" s="9">
        <f>IFERROR((Metros2*Datos!B62/(Datos!D62*Datos!C62)),0)</f>
        <v>0</v>
      </c>
      <c r="E61" s="6">
        <f t="shared" si="15"/>
        <v>0</v>
      </c>
      <c r="F61" s="12">
        <f t="shared" si="16"/>
        <v>0</v>
      </c>
      <c r="G61" s="6">
        <f t="shared" si="17"/>
        <v>0</v>
      </c>
      <c r="H61">
        <f t="shared" si="18"/>
        <v>0</v>
      </c>
      <c r="I61">
        <f t="shared" si="19"/>
        <v>0</v>
      </c>
      <c r="J61">
        <f t="shared" si="20"/>
        <v>0</v>
      </c>
      <c r="K61" s="9">
        <f>IF(Ciclo="_3_años",
IF(Datos!F62="Por_Surcos",
IF(Datos!G62&gt;=1,D61/3,0),
IF(Datos!F62="En_Bloque",
IF(Datos!G62=1,D61,0),
0)),0)</f>
        <v>0</v>
      </c>
      <c r="L61" s="17">
        <f>IF(Ciclo="_3_años",
IF(Datos!F62="Por_Surcos",
IF(Datos!G62&gt;=2,D61/3,0),
IF(Datos!F62="En_Bloque",
IF(Datos!G62=2,D61,0),
0)),0)</f>
        <v>0</v>
      </c>
      <c r="M61" s="9">
        <f>IF(Ciclo="_3_años",
IF(Datos!F62="Por_Surcos",
IF(Datos!G62&gt;=3,D61/3,0),
IF(Datos!F62="En_Bloque",
IF(Datos!G62=3,D61,0),
0)),0)</f>
        <v>0</v>
      </c>
      <c r="N61" s="9">
        <f>IF(Ciclo="_4_años",
IF(Datos!F62="Por_Surcos",
IF(Datos!G62&gt;=1,D61/4,0),
IF(Datos!F62="En_Bloque",
IF(Datos!G62=1,D61,0),
0)),0)</f>
        <v>0</v>
      </c>
      <c r="O61" s="9">
        <f>IF(Ciclo="_4_años",
IF(Datos!F62="Por_Surcos",
IF(Datos!G62&gt;=2,D61/4,0),
IF(Datos!F62="En_Bloque",
IF(Datos!G62=2,D61,0),
0)),0)</f>
        <v>0</v>
      </c>
      <c r="P61" s="9">
        <f>IF(Ciclo="_4_años",
IF(Datos!F62="Por_Surcos",
IF(Datos!G62&gt;=3,D61/4,0),
IF(Datos!F62="En_Bloque",
IF(Datos!G62=3,D61,0),
0)),0)</f>
        <v>0</v>
      </c>
      <c r="Q61" s="9">
        <f>IF(Ciclo="_4_años",
IF(Datos!F62="Por_Surcos",
IF(Datos!G62&gt;=4,D61/4,0),
IF(Datos!F62="En_Bloque",
IF(Datos!G62=4,D61,0),
0)),0)</f>
        <v>0</v>
      </c>
      <c r="R61" s="9">
        <f>IF(Ciclo="_5_años",
IF(Datos!F62="Por_Surcos",
IF(Datos!G62&gt;=1,D61/5,0),
IF(Datos!F62="En_Bloque",
IF(Datos!G62=1,D61,0),
0)),0)</f>
        <v>0</v>
      </c>
      <c r="S61" s="9">
        <f>IF(Ciclo="_5_años",
IF(Datos!F62="Por_Surcos",
IF(Datos!G62&gt;=2,D61/5,0),
IF(Datos!F62="En_Bloque",
IF(Datos!G62=2,D61,0),
0)),0)</f>
        <v>0</v>
      </c>
      <c r="T61" s="9">
        <f>IF(Ciclo="_5_años",
IF(Datos!F62="Por_Surcos",
IF(Datos!G62&gt;=3,D61/5,0),
IF(Datos!F62="En_Bloque",
IF(Datos!G62=3,D61,0),
0)),0)</f>
        <v>0</v>
      </c>
      <c r="U61" s="9">
        <f>IF(Ciclo="_5_años",
IF(Datos!F62="Por_Surcos",
IF(Datos!G62&gt;=4,D61/5,0),
IF(Datos!F62="En_Bloque",
IF(Datos!G62=4,D61,0),
0)),0)</f>
        <v>0</v>
      </c>
      <c r="V61" s="9">
        <f>IF(Ciclo="_5_años",
IF(Datos!F62="Por_Surcos",
IF(Datos!G62&gt;=5,D61/5,0),
IF(Datos!F62="En_Bloque",
IF(Datos!G62=5,D61,0),
0)),0)</f>
        <v>0</v>
      </c>
      <c r="W61" s="9">
        <f>(((L61*4.5)+(M61*12)+(O61*0.5)+(P61*4)+(Q61*8.5)+(S61*0.5)+(T61*4)+(U61*8.5)+(V61*6))*Datos!E62)/100</f>
        <v>0</v>
      </c>
      <c r="X61" s="6">
        <f t="shared" si="21"/>
        <v>0</v>
      </c>
      <c r="Y61" s="9">
        <f t="shared" si="45"/>
        <v>0</v>
      </c>
      <c r="Z61" s="9">
        <f t="shared" si="22"/>
        <v>0</v>
      </c>
      <c r="AA61" s="6">
        <f t="shared" si="23"/>
        <v>0</v>
      </c>
      <c r="AB61" s="9">
        <f t="shared" si="24"/>
        <v>0</v>
      </c>
      <c r="AC61" s="6">
        <f t="shared" si="25"/>
        <v>0</v>
      </c>
      <c r="AD61" s="6">
        <f t="shared" si="26"/>
        <v>0</v>
      </c>
      <c r="AE61" s="5">
        <f t="shared" si="27"/>
        <v>0</v>
      </c>
      <c r="AF61" s="5">
        <f>IF(Datos!F62="En_Bloque",0,IF(Datos!F62="Por_Surcos",IF(Datos!G62=1,E61/Plantas_Paliativa_Por_Dia,0),0))</f>
        <v>0</v>
      </c>
      <c r="AG61" s="5">
        <f t="shared" si="28"/>
        <v>0</v>
      </c>
      <c r="AH61" s="5">
        <f t="shared" si="29"/>
        <v>0</v>
      </c>
      <c r="AI61" s="5">
        <f t="shared" si="30"/>
        <v>0</v>
      </c>
      <c r="AJ61" s="5">
        <f t="shared" si="31"/>
        <v>0</v>
      </c>
      <c r="AK61" s="5">
        <f t="shared" si="32"/>
        <v>0</v>
      </c>
      <c r="AL61" s="5">
        <f t="shared" si="33"/>
        <v>0</v>
      </c>
      <c r="AM61" s="5">
        <f t="shared" si="34"/>
        <v>0</v>
      </c>
      <c r="AN61" s="5">
        <f t="shared" si="35"/>
        <v>0</v>
      </c>
      <c r="AO61" s="5">
        <f t="shared" si="36"/>
        <v>0</v>
      </c>
      <c r="AP61" s="5">
        <f t="shared" si="37"/>
        <v>0</v>
      </c>
      <c r="AQ61" s="5">
        <f t="shared" si="38"/>
        <v>0</v>
      </c>
      <c r="AR61" s="5">
        <f t="shared" si="46"/>
        <v>0</v>
      </c>
      <c r="AS61" s="6">
        <f>'Eficiencias &amp; Configuración'!B$12*Cálculos!C61</f>
        <v>0</v>
      </c>
      <c r="AT61" s="6">
        <f>IFERROR(('Eficiencias &amp; Configuración'!B$15*C61)*'Eficiencias &amp; Configuración'!B$14,0)</f>
        <v>0</v>
      </c>
      <c r="AU61">
        <f>C61*'Eficiencias &amp; Configuración'!B$16</f>
        <v>0</v>
      </c>
      <c r="AV61">
        <f>C61*'Eficiencias &amp; Configuración'!B$19</f>
        <v>0</v>
      </c>
      <c r="AW61">
        <f>(H61*Enfermedades_Crecimiento)*'Eficiencias &amp; Configuración'!B$18</f>
        <v>0</v>
      </c>
      <c r="AX61">
        <f>(I61+J61)*Enfermedades_Producción*'Eficiencias &amp; Configuración'!B$18</f>
        <v>0</v>
      </c>
      <c r="AY61" s="23">
        <f>W61*'Eficiencias &amp; Configuración'!B$24</f>
        <v>0</v>
      </c>
      <c r="AZ61" s="4">
        <f>(W61/5)*'Eficiencias &amp; Configuración'!B$25</f>
        <v>0</v>
      </c>
      <c r="BA61" s="5">
        <f t="shared" si="39"/>
        <v>0</v>
      </c>
      <c r="BB61" s="4">
        <f t="shared" si="40"/>
        <v>0</v>
      </c>
      <c r="BC61" s="4">
        <f t="shared" si="47"/>
        <v>0</v>
      </c>
      <c r="BD61" s="4">
        <f t="shared" si="41"/>
        <v>0</v>
      </c>
      <c r="BE61" s="5">
        <f t="shared" si="42"/>
        <v>0</v>
      </c>
      <c r="BF61" s="5">
        <f t="shared" si="43"/>
        <v>0</v>
      </c>
      <c r="BG61" s="5" t="e">
        <f t="shared" si="48"/>
        <v>#DIV/0!</v>
      </c>
      <c r="BH61" s="4">
        <f t="shared" si="49"/>
        <v>0</v>
      </c>
      <c r="BI61" s="4" t="e">
        <f t="shared" si="44"/>
        <v>#DIV/0!</v>
      </c>
    </row>
    <row r="62" spans="1:61" x14ac:dyDescent="0.25">
      <c r="A62" t="str">
        <f>Datos!A63</f>
        <v>Lote 59</v>
      </c>
      <c r="B62" s="6">
        <f>Datos!B63</f>
        <v>0</v>
      </c>
      <c r="C62">
        <f>_xlfn.XLOOKUP(UM,Hoja1!A$2:A$7,Hoja1!B$2:B$7)*B62</f>
        <v>0</v>
      </c>
      <c r="D62" s="9">
        <f>IFERROR((Metros2*Datos!B63/(Datos!D63*Datos!C63)),0)</f>
        <v>0</v>
      </c>
      <c r="E62" s="6">
        <f t="shared" si="15"/>
        <v>0</v>
      </c>
      <c r="F62" s="12">
        <f t="shared" si="16"/>
        <v>0</v>
      </c>
      <c r="G62" s="6">
        <f t="shared" si="17"/>
        <v>0</v>
      </c>
      <c r="H62">
        <f t="shared" si="18"/>
        <v>0</v>
      </c>
      <c r="I62">
        <f t="shared" si="19"/>
        <v>0</v>
      </c>
      <c r="J62">
        <f t="shared" si="20"/>
        <v>0</v>
      </c>
      <c r="K62" s="9">
        <f>IF(Ciclo="_3_años",
IF(Datos!F63="Por_Surcos",
IF(Datos!G63&gt;=1,D62/3,0),
IF(Datos!F63="En_Bloque",
IF(Datos!G63=1,D62,0),
0)),0)</f>
        <v>0</v>
      </c>
      <c r="L62" s="17">
        <f>IF(Ciclo="_3_años",
IF(Datos!F63="Por_Surcos",
IF(Datos!G63&gt;=2,D62/3,0),
IF(Datos!F63="En_Bloque",
IF(Datos!G63=2,D62,0),
0)),0)</f>
        <v>0</v>
      </c>
      <c r="M62" s="9">
        <f>IF(Ciclo="_3_años",
IF(Datos!F63="Por_Surcos",
IF(Datos!G63&gt;=3,D62/3,0),
IF(Datos!F63="En_Bloque",
IF(Datos!G63=3,D62,0),
0)),0)</f>
        <v>0</v>
      </c>
      <c r="N62" s="9">
        <f>IF(Ciclo="_4_años",
IF(Datos!F63="Por_Surcos",
IF(Datos!G63&gt;=1,D62/4,0),
IF(Datos!F63="En_Bloque",
IF(Datos!G63=1,D62,0),
0)),0)</f>
        <v>0</v>
      </c>
      <c r="O62" s="9">
        <f>IF(Ciclo="_4_años",
IF(Datos!F63="Por_Surcos",
IF(Datos!G63&gt;=2,D62/4,0),
IF(Datos!F63="En_Bloque",
IF(Datos!G63=2,D62,0),
0)),0)</f>
        <v>0</v>
      </c>
      <c r="P62" s="9">
        <f>IF(Ciclo="_4_años",
IF(Datos!F63="Por_Surcos",
IF(Datos!G63&gt;=3,D62/4,0),
IF(Datos!F63="En_Bloque",
IF(Datos!G63=3,D62,0),
0)),0)</f>
        <v>0</v>
      </c>
      <c r="Q62" s="9">
        <f>IF(Ciclo="_4_años",
IF(Datos!F63="Por_Surcos",
IF(Datos!G63&gt;=4,D62/4,0),
IF(Datos!F63="En_Bloque",
IF(Datos!G63=4,D62,0),
0)),0)</f>
        <v>0</v>
      </c>
      <c r="R62" s="9">
        <f>IF(Ciclo="_5_años",
IF(Datos!F63="Por_Surcos",
IF(Datos!G63&gt;=1,D62/5,0),
IF(Datos!F63="En_Bloque",
IF(Datos!G63=1,D62,0),
0)),0)</f>
        <v>0</v>
      </c>
      <c r="S62" s="9">
        <f>IF(Ciclo="_5_años",
IF(Datos!F63="Por_Surcos",
IF(Datos!G63&gt;=2,D62/5,0),
IF(Datos!F63="En_Bloque",
IF(Datos!G63=2,D62,0),
0)),0)</f>
        <v>0</v>
      </c>
      <c r="T62" s="9">
        <f>IF(Ciclo="_5_años",
IF(Datos!F63="Por_Surcos",
IF(Datos!G63&gt;=3,D62/5,0),
IF(Datos!F63="En_Bloque",
IF(Datos!G63=3,D62,0),
0)),0)</f>
        <v>0</v>
      </c>
      <c r="U62" s="9">
        <f>IF(Ciclo="_5_años",
IF(Datos!F63="Por_Surcos",
IF(Datos!G63&gt;=4,D62/5,0),
IF(Datos!F63="En_Bloque",
IF(Datos!G63=4,D62,0),
0)),0)</f>
        <v>0</v>
      </c>
      <c r="V62" s="9">
        <f>IF(Ciclo="_5_años",
IF(Datos!F63="Por_Surcos",
IF(Datos!G63&gt;=5,D62/5,0),
IF(Datos!F63="En_Bloque",
IF(Datos!G63=5,D62,0),
0)),0)</f>
        <v>0</v>
      </c>
      <c r="W62" s="9">
        <f>(((L62*4.5)+(M62*12)+(O62*0.5)+(P62*4)+(Q62*8.5)+(S62*0.5)+(T62*4)+(U62*8.5)+(V62*6))*Datos!E63)/100</f>
        <v>0</v>
      </c>
      <c r="X62" s="6">
        <f t="shared" si="21"/>
        <v>0</v>
      </c>
      <c r="Y62" s="9">
        <f t="shared" si="45"/>
        <v>0</v>
      </c>
      <c r="Z62" s="9">
        <f t="shared" si="22"/>
        <v>0</v>
      </c>
      <c r="AA62" s="6">
        <f t="shared" si="23"/>
        <v>0</v>
      </c>
      <c r="AB62" s="9">
        <f t="shared" si="24"/>
        <v>0</v>
      </c>
      <c r="AC62" s="6">
        <f t="shared" si="25"/>
        <v>0</v>
      </c>
      <c r="AD62" s="6">
        <f t="shared" si="26"/>
        <v>0</v>
      </c>
      <c r="AE62" s="5">
        <f t="shared" si="27"/>
        <v>0</v>
      </c>
      <c r="AF62" s="5">
        <f>IF(Datos!F63="En_Bloque",0,IF(Datos!F63="Por_Surcos",IF(Datos!G63=1,E62/Plantas_Paliativa_Por_Dia,0),0))</f>
        <v>0</v>
      </c>
      <c r="AG62" s="5">
        <f t="shared" si="28"/>
        <v>0</v>
      </c>
      <c r="AH62" s="5">
        <f t="shared" si="29"/>
        <v>0</v>
      </c>
      <c r="AI62" s="5">
        <f t="shared" si="30"/>
        <v>0</v>
      </c>
      <c r="AJ62" s="5">
        <f t="shared" si="31"/>
        <v>0</v>
      </c>
      <c r="AK62" s="5">
        <f t="shared" si="32"/>
        <v>0</v>
      </c>
      <c r="AL62" s="5">
        <f t="shared" si="33"/>
        <v>0</v>
      </c>
      <c r="AM62" s="5">
        <f t="shared" si="34"/>
        <v>0</v>
      </c>
      <c r="AN62" s="5">
        <f t="shared" si="35"/>
        <v>0</v>
      </c>
      <c r="AO62" s="5">
        <f t="shared" si="36"/>
        <v>0</v>
      </c>
      <c r="AP62" s="5">
        <f t="shared" si="37"/>
        <v>0</v>
      </c>
      <c r="AQ62" s="5">
        <f t="shared" si="38"/>
        <v>0</v>
      </c>
      <c r="AR62" s="5">
        <f t="shared" si="46"/>
        <v>0</v>
      </c>
      <c r="AS62" s="6">
        <f>'Eficiencias &amp; Configuración'!B$12*Cálculos!C62</f>
        <v>0</v>
      </c>
      <c r="AT62" s="6">
        <f>IFERROR(('Eficiencias &amp; Configuración'!B$15*C62)*'Eficiencias &amp; Configuración'!B$14,0)</f>
        <v>0</v>
      </c>
      <c r="AU62">
        <f>C62*'Eficiencias &amp; Configuración'!B$16</f>
        <v>0</v>
      </c>
      <c r="AV62">
        <f>C62*'Eficiencias &amp; Configuración'!B$19</f>
        <v>0</v>
      </c>
      <c r="AW62">
        <f>(H62*Enfermedades_Crecimiento)*'Eficiencias &amp; Configuración'!B$18</f>
        <v>0</v>
      </c>
      <c r="AX62">
        <f>(I62+J62)*Enfermedades_Producción*'Eficiencias &amp; Configuración'!B$18</f>
        <v>0</v>
      </c>
      <c r="AY62" s="23">
        <f>W62*'Eficiencias &amp; Configuración'!B$24</f>
        <v>0</v>
      </c>
      <c r="AZ62" s="4">
        <f>(W62/5)*'Eficiencias &amp; Configuración'!B$25</f>
        <v>0</v>
      </c>
      <c r="BA62" s="5">
        <f t="shared" si="39"/>
        <v>0</v>
      </c>
      <c r="BB62" s="4">
        <f t="shared" si="40"/>
        <v>0</v>
      </c>
      <c r="BC62" s="4">
        <f t="shared" si="47"/>
        <v>0</v>
      </c>
      <c r="BD62" s="4">
        <f t="shared" si="41"/>
        <v>0</v>
      </c>
      <c r="BE62" s="5">
        <f t="shared" si="42"/>
        <v>0</v>
      </c>
      <c r="BF62" s="5">
        <f t="shared" si="43"/>
        <v>0</v>
      </c>
      <c r="BG62" s="5" t="e">
        <f t="shared" si="48"/>
        <v>#DIV/0!</v>
      </c>
      <c r="BH62" s="4">
        <f t="shared" si="49"/>
        <v>0</v>
      </c>
      <c r="BI62" s="4" t="e">
        <f t="shared" si="44"/>
        <v>#DIV/0!</v>
      </c>
    </row>
    <row r="63" spans="1:61" x14ac:dyDescent="0.25">
      <c r="A63" t="str">
        <f>Datos!A64</f>
        <v>Lote 60</v>
      </c>
      <c r="B63" s="6">
        <f>Datos!B64</f>
        <v>0</v>
      </c>
      <c r="C63">
        <f>_xlfn.XLOOKUP(UM,Hoja1!A$2:A$7,Hoja1!B$2:B$7)*B63</f>
        <v>0</v>
      </c>
      <c r="D63" s="9">
        <f>IFERROR((Metros2*Datos!B64/(Datos!D64*Datos!C64)),0)</f>
        <v>0</v>
      </c>
      <c r="E63" s="6">
        <f t="shared" si="15"/>
        <v>0</v>
      </c>
      <c r="F63" s="12">
        <f t="shared" si="16"/>
        <v>0</v>
      </c>
      <c r="G63" s="6">
        <f t="shared" si="17"/>
        <v>0</v>
      </c>
      <c r="H63">
        <f t="shared" si="18"/>
        <v>0</v>
      </c>
      <c r="I63">
        <f t="shared" si="19"/>
        <v>0</v>
      </c>
      <c r="J63">
        <f t="shared" si="20"/>
        <v>0</v>
      </c>
      <c r="K63" s="9">
        <f>IF(Ciclo="_3_años",
IF(Datos!F64="Por_Surcos",
IF(Datos!G64&gt;=1,D63/3,0),
IF(Datos!F64="En_Bloque",
IF(Datos!G64=1,D63,0),
0)),0)</f>
        <v>0</v>
      </c>
      <c r="L63" s="17">
        <f>IF(Ciclo="_3_años",
IF(Datos!F64="Por_Surcos",
IF(Datos!G64&gt;=2,D63/3,0),
IF(Datos!F64="En_Bloque",
IF(Datos!G64=2,D63,0),
0)),0)</f>
        <v>0</v>
      </c>
      <c r="M63" s="9">
        <f>IF(Ciclo="_3_años",
IF(Datos!F64="Por_Surcos",
IF(Datos!G64&gt;=3,D63/3,0),
IF(Datos!F64="En_Bloque",
IF(Datos!G64=3,D63,0),
0)),0)</f>
        <v>0</v>
      </c>
      <c r="N63" s="9">
        <f>IF(Ciclo="_4_años",
IF(Datos!F64="Por_Surcos",
IF(Datos!G64&gt;=1,D63/4,0),
IF(Datos!F64="En_Bloque",
IF(Datos!G64=1,D63,0),
0)),0)</f>
        <v>0</v>
      </c>
      <c r="O63" s="9">
        <f>IF(Ciclo="_4_años",
IF(Datos!F64="Por_Surcos",
IF(Datos!G64&gt;=2,D63/4,0),
IF(Datos!F64="En_Bloque",
IF(Datos!G64=2,D63,0),
0)),0)</f>
        <v>0</v>
      </c>
      <c r="P63" s="9">
        <f>IF(Ciclo="_4_años",
IF(Datos!F64="Por_Surcos",
IF(Datos!G64&gt;=3,D63/4,0),
IF(Datos!F64="En_Bloque",
IF(Datos!G64=3,D63,0),
0)),0)</f>
        <v>0</v>
      </c>
      <c r="Q63" s="9">
        <f>IF(Ciclo="_4_años",
IF(Datos!F64="Por_Surcos",
IF(Datos!G64&gt;=4,D63/4,0),
IF(Datos!F64="En_Bloque",
IF(Datos!G64=4,D63,0),
0)),0)</f>
        <v>0</v>
      </c>
      <c r="R63" s="9">
        <f>IF(Ciclo="_5_años",
IF(Datos!F64="Por_Surcos",
IF(Datos!G64&gt;=1,D63/5,0),
IF(Datos!F64="En_Bloque",
IF(Datos!G64=1,D63,0),
0)),0)</f>
        <v>0</v>
      </c>
      <c r="S63" s="9">
        <f>IF(Ciclo="_5_años",
IF(Datos!F64="Por_Surcos",
IF(Datos!G64&gt;=2,D63/5,0),
IF(Datos!F64="En_Bloque",
IF(Datos!G64=2,D63,0),
0)),0)</f>
        <v>0</v>
      </c>
      <c r="T63" s="9">
        <f>IF(Ciclo="_5_años",
IF(Datos!F64="Por_Surcos",
IF(Datos!G64&gt;=3,D63/5,0),
IF(Datos!F64="En_Bloque",
IF(Datos!G64=3,D63,0),
0)),0)</f>
        <v>0</v>
      </c>
      <c r="U63" s="9">
        <f>IF(Ciclo="_5_años",
IF(Datos!F64="Por_Surcos",
IF(Datos!G64&gt;=4,D63/5,0),
IF(Datos!F64="En_Bloque",
IF(Datos!G64=4,D63,0),
0)),0)</f>
        <v>0</v>
      </c>
      <c r="V63" s="9">
        <f>IF(Ciclo="_5_años",
IF(Datos!F64="Por_Surcos",
IF(Datos!G64&gt;=5,D63/5,0),
IF(Datos!F64="En_Bloque",
IF(Datos!G64=5,D63,0),
0)),0)</f>
        <v>0</v>
      </c>
      <c r="W63" s="9">
        <f>(((L63*4.5)+(M63*12)+(O63*0.5)+(P63*4)+(Q63*8.5)+(S63*0.5)+(T63*4)+(U63*8.5)+(V63*6))*Datos!E64)/100</f>
        <v>0</v>
      </c>
      <c r="X63" s="6">
        <f t="shared" si="21"/>
        <v>0</v>
      </c>
      <c r="Y63" s="9">
        <f t="shared" si="45"/>
        <v>0</v>
      </c>
      <c r="Z63" s="9">
        <f t="shared" si="22"/>
        <v>0</v>
      </c>
      <c r="AA63" s="6">
        <f t="shared" si="23"/>
        <v>0</v>
      </c>
      <c r="AB63" s="9">
        <f t="shared" si="24"/>
        <v>0</v>
      </c>
      <c r="AC63" s="6">
        <f t="shared" si="25"/>
        <v>0</v>
      </c>
      <c r="AD63" s="6">
        <f t="shared" si="26"/>
        <v>0</v>
      </c>
      <c r="AE63" s="5">
        <f t="shared" si="27"/>
        <v>0</v>
      </c>
      <c r="AF63" s="5">
        <f>IF(Datos!F64="En_Bloque",0,IF(Datos!F64="Por_Surcos",IF(Datos!G64=1,E63/Plantas_Paliativa_Por_Dia,0),0))</f>
        <v>0</v>
      </c>
      <c r="AG63" s="5">
        <f t="shared" si="28"/>
        <v>0</v>
      </c>
      <c r="AH63" s="5">
        <f t="shared" si="29"/>
        <v>0</v>
      </c>
      <c r="AI63" s="5">
        <f t="shared" si="30"/>
        <v>0</v>
      </c>
      <c r="AJ63" s="5">
        <f t="shared" si="31"/>
        <v>0</v>
      </c>
      <c r="AK63" s="5">
        <f t="shared" si="32"/>
        <v>0</v>
      </c>
      <c r="AL63" s="5">
        <f t="shared" si="33"/>
        <v>0</v>
      </c>
      <c r="AM63" s="5">
        <f t="shared" si="34"/>
        <v>0</v>
      </c>
      <c r="AN63" s="5">
        <f t="shared" si="35"/>
        <v>0</v>
      </c>
      <c r="AO63" s="5">
        <f t="shared" si="36"/>
        <v>0</v>
      </c>
      <c r="AP63" s="5">
        <f t="shared" si="37"/>
        <v>0</v>
      </c>
      <c r="AQ63" s="5">
        <f t="shared" si="38"/>
        <v>0</v>
      </c>
      <c r="AR63" s="5">
        <f t="shared" si="46"/>
        <v>0</v>
      </c>
      <c r="AS63" s="6">
        <f>'Eficiencias &amp; Configuración'!B$12*Cálculos!C63</f>
        <v>0</v>
      </c>
      <c r="AT63" s="6">
        <f>IFERROR(('Eficiencias &amp; Configuración'!B$15*C63)*'Eficiencias &amp; Configuración'!B$14,0)</f>
        <v>0</v>
      </c>
      <c r="AU63">
        <f>C63*'Eficiencias &amp; Configuración'!B$16</f>
        <v>0</v>
      </c>
      <c r="AV63">
        <f>C63*'Eficiencias &amp; Configuración'!B$19</f>
        <v>0</v>
      </c>
      <c r="AW63">
        <f>(H63*Enfermedades_Crecimiento)*'Eficiencias &amp; Configuración'!B$18</f>
        <v>0</v>
      </c>
      <c r="AX63">
        <f>(I63+J63)*Enfermedades_Producción*'Eficiencias &amp; Configuración'!B$18</f>
        <v>0</v>
      </c>
      <c r="AY63" s="23">
        <f>W63*'Eficiencias &amp; Configuración'!B$24</f>
        <v>0</v>
      </c>
      <c r="AZ63" s="4">
        <f>(W63/5)*'Eficiencias &amp; Configuración'!B$25</f>
        <v>0</v>
      </c>
      <c r="BA63" s="5">
        <f t="shared" si="39"/>
        <v>0</v>
      </c>
      <c r="BB63" s="4">
        <f t="shared" si="40"/>
        <v>0</v>
      </c>
      <c r="BC63" s="4">
        <f t="shared" si="47"/>
        <v>0</v>
      </c>
      <c r="BD63" s="4">
        <f t="shared" si="41"/>
        <v>0</v>
      </c>
      <c r="BE63" s="5">
        <f t="shared" si="42"/>
        <v>0</v>
      </c>
      <c r="BF63" s="5">
        <f t="shared" si="43"/>
        <v>0</v>
      </c>
      <c r="BG63" s="5" t="e">
        <f t="shared" si="48"/>
        <v>#DIV/0!</v>
      </c>
      <c r="BH63" s="4">
        <f t="shared" si="49"/>
        <v>0</v>
      </c>
      <c r="BI63" s="4" t="e">
        <f t="shared" si="44"/>
        <v>#DIV/0!</v>
      </c>
    </row>
    <row r="64" spans="1:61" x14ac:dyDescent="0.25">
      <c r="A64" t="str">
        <f>Datos!A65</f>
        <v>Lote 61</v>
      </c>
      <c r="B64" s="6">
        <f>Datos!B65</f>
        <v>0</v>
      </c>
      <c r="C64">
        <f>_xlfn.XLOOKUP(UM,Hoja1!A$2:A$7,Hoja1!B$2:B$7)*B64</f>
        <v>0</v>
      </c>
      <c r="D64" s="9">
        <f>IFERROR((Metros2*Datos!B65/(Datos!D65*Datos!C65)),0)</f>
        <v>0</v>
      </c>
      <c r="E64" s="6">
        <f t="shared" si="15"/>
        <v>0</v>
      </c>
      <c r="F64" s="12">
        <f t="shared" si="16"/>
        <v>0</v>
      </c>
      <c r="G64" s="6">
        <f t="shared" si="17"/>
        <v>0</v>
      </c>
      <c r="H64">
        <f t="shared" si="18"/>
        <v>0</v>
      </c>
      <c r="I64">
        <f t="shared" si="19"/>
        <v>0</v>
      </c>
      <c r="J64">
        <f t="shared" si="20"/>
        <v>0</v>
      </c>
      <c r="K64" s="9">
        <f>IF(Ciclo="_3_años",
IF(Datos!F65="Por_Surcos",
IF(Datos!G65&gt;=1,D64/3,0),
IF(Datos!F65="En_Bloque",
IF(Datos!G65=1,D64,0),
0)),0)</f>
        <v>0</v>
      </c>
      <c r="L64" s="17">
        <f>IF(Ciclo="_3_años",
IF(Datos!F65="Por_Surcos",
IF(Datos!G65&gt;=2,D64/3,0),
IF(Datos!F65="En_Bloque",
IF(Datos!G65=2,D64,0),
0)),0)</f>
        <v>0</v>
      </c>
      <c r="M64" s="9">
        <f>IF(Ciclo="_3_años",
IF(Datos!F65="Por_Surcos",
IF(Datos!G65&gt;=3,D64/3,0),
IF(Datos!F65="En_Bloque",
IF(Datos!G65=3,D64,0),
0)),0)</f>
        <v>0</v>
      </c>
      <c r="N64" s="9">
        <f>IF(Ciclo="_4_años",
IF(Datos!F65="Por_Surcos",
IF(Datos!G65&gt;=1,D64/4,0),
IF(Datos!F65="En_Bloque",
IF(Datos!G65=1,D64,0),
0)),0)</f>
        <v>0</v>
      </c>
      <c r="O64" s="9">
        <f>IF(Ciclo="_4_años",
IF(Datos!F65="Por_Surcos",
IF(Datos!G65&gt;=2,D64/4,0),
IF(Datos!F65="En_Bloque",
IF(Datos!G65=2,D64,0),
0)),0)</f>
        <v>0</v>
      </c>
      <c r="P64" s="9">
        <f>IF(Ciclo="_4_años",
IF(Datos!F65="Por_Surcos",
IF(Datos!G65&gt;=3,D64/4,0),
IF(Datos!F65="En_Bloque",
IF(Datos!G65=3,D64,0),
0)),0)</f>
        <v>0</v>
      </c>
      <c r="Q64" s="9">
        <f>IF(Ciclo="_4_años",
IF(Datos!F65="Por_Surcos",
IF(Datos!G65&gt;=4,D64/4,0),
IF(Datos!F65="En_Bloque",
IF(Datos!G65=4,D64,0),
0)),0)</f>
        <v>0</v>
      </c>
      <c r="R64" s="9">
        <f>IF(Ciclo="_5_años",
IF(Datos!F65="Por_Surcos",
IF(Datos!G65&gt;=1,D64/5,0),
IF(Datos!F65="En_Bloque",
IF(Datos!G65=1,D64,0),
0)),0)</f>
        <v>0</v>
      </c>
      <c r="S64" s="9">
        <f>IF(Ciclo="_5_años",
IF(Datos!F65="Por_Surcos",
IF(Datos!G65&gt;=2,D64/5,0),
IF(Datos!F65="En_Bloque",
IF(Datos!G65=2,D64,0),
0)),0)</f>
        <v>0</v>
      </c>
      <c r="T64" s="9">
        <f>IF(Ciclo="_5_años",
IF(Datos!F65="Por_Surcos",
IF(Datos!G65&gt;=3,D64/5,0),
IF(Datos!F65="En_Bloque",
IF(Datos!G65=3,D64,0),
0)),0)</f>
        <v>0</v>
      </c>
      <c r="U64" s="9">
        <f>IF(Ciclo="_5_años",
IF(Datos!F65="Por_Surcos",
IF(Datos!G65&gt;=4,D64/5,0),
IF(Datos!F65="En_Bloque",
IF(Datos!G65=4,D64,0),
0)),0)</f>
        <v>0</v>
      </c>
      <c r="V64" s="9">
        <f>IF(Ciclo="_5_años",
IF(Datos!F65="Por_Surcos",
IF(Datos!G65&gt;=5,D64/5,0),
IF(Datos!F65="En_Bloque",
IF(Datos!G65=5,D64,0),
0)),0)</f>
        <v>0</v>
      </c>
      <c r="W64" s="9">
        <f>(((L64*4.5)+(M64*12)+(O64*0.5)+(P64*4)+(Q64*8.5)+(S64*0.5)+(T64*4)+(U64*8.5)+(V64*6))*Datos!E65)/100</f>
        <v>0</v>
      </c>
      <c r="X64" s="6">
        <f t="shared" si="21"/>
        <v>0</v>
      </c>
      <c r="Y64" s="9">
        <f t="shared" si="45"/>
        <v>0</v>
      </c>
      <c r="Z64" s="9">
        <f t="shared" si="22"/>
        <v>0</v>
      </c>
      <c r="AA64" s="6">
        <f t="shared" si="23"/>
        <v>0</v>
      </c>
      <c r="AB64" s="9">
        <f t="shared" si="24"/>
        <v>0</v>
      </c>
      <c r="AC64" s="6">
        <f t="shared" si="25"/>
        <v>0</v>
      </c>
      <c r="AD64" s="6">
        <f t="shared" si="26"/>
        <v>0</v>
      </c>
      <c r="AE64" s="5">
        <f t="shared" si="27"/>
        <v>0</v>
      </c>
      <c r="AF64" s="5">
        <f>IF(Datos!F65="En_Bloque",0,IF(Datos!F65="Por_Surcos",IF(Datos!G65=1,E64/Plantas_Paliativa_Por_Dia,0),0))</f>
        <v>0</v>
      </c>
      <c r="AG64" s="5">
        <f t="shared" si="28"/>
        <v>0</v>
      </c>
      <c r="AH64" s="5">
        <f t="shared" si="29"/>
        <v>0</v>
      </c>
      <c r="AI64" s="5">
        <f t="shared" si="30"/>
        <v>0</v>
      </c>
      <c r="AJ64" s="5">
        <f t="shared" si="31"/>
        <v>0</v>
      </c>
      <c r="AK64" s="5">
        <f t="shared" si="32"/>
        <v>0</v>
      </c>
      <c r="AL64" s="5">
        <f t="shared" si="33"/>
        <v>0</v>
      </c>
      <c r="AM64" s="5">
        <f t="shared" si="34"/>
        <v>0</v>
      </c>
      <c r="AN64" s="5">
        <f t="shared" si="35"/>
        <v>0</v>
      </c>
      <c r="AO64" s="5">
        <f t="shared" si="36"/>
        <v>0</v>
      </c>
      <c r="AP64" s="5">
        <f t="shared" si="37"/>
        <v>0</v>
      </c>
      <c r="AQ64" s="5">
        <f t="shared" si="38"/>
        <v>0</v>
      </c>
      <c r="AR64" s="5">
        <f t="shared" si="46"/>
        <v>0</v>
      </c>
      <c r="AS64" s="6">
        <f>'Eficiencias &amp; Configuración'!B$12*Cálculos!C64</f>
        <v>0</v>
      </c>
      <c r="AT64" s="6">
        <f>IFERROR(('Eficiencias &amp; Configuración'!B$15*C64)*'Eficiencias &amp; Configuración'!B$14,0)</f>
        <v>0</v>
      </c>
      <c r="AU64">
        <f>C64*'Eficiencias &amp; Configuración'!B$16</f>
        <v>0</v>
      </c>
      <c r="AV64">
        <f>C64*'Eficiencias &amp; Configuración'!B$19</f>
        <v>0</v>
      </c>
      <c r="AW64">
        <f>(H64*Enfermedades_Crecimiento)*'Eficiencias &amp; Configuración'!B$18</f>
        <v>0</v>
      </c>
      <c r="AX64">
        <f>(I64+J64)*Enfermedades_Producción*'Eficiencias &amp; Configuración'!B$18</f>
        <v>0</v>
      </c>
      <c r="AY64" s="23">
        <f>W64*'Eficiencias &amp; Configuración'!B$24</f>
        <v>0</v>
      </c>
      <c r="AZ64" s="4">
        <f>(W64/5)*'Eficiencias &amp; Configuración'!B$25</f>
        <v>0</v>
      </c>
      <c r="BA64" s="5">
        <f t="shared" si="39"/>
        <v>0</v>
      </c>
      <c r="BB64" s="4">
        <f t="shared" si="40"/>
        <v>0</v>
      </c>
      <c r="BC64" s="4">
        <f t="shared" si="47"/>
        <v>0</v>
      </c>
      <c r="BD64" s="4">
        <f t="shared" si="41"/>
        <v>0</v>
      </c>
      <c r="BE64" s="5">
        <f t="shared" si="42"/>
        <v>0</v>
      </c>
      <c r="BF64" s="5">
        <f t="shared" si="43"/>
        <v>0</v>
      </c>
      <c r="BG64" s="5" t="e">
        <f t="shared" si="48"/>
        <v>#DIV/0!</v>
      </c>
      <c r="BH64" s="4">
        <f t="shared" si="49"/>
        <v>0</v>
      </c>
      <c r="BI64" s="4" t="e">
        <f t="shared" si="44"/>
        <v>#DIV/0!</v>
      </c>
    </row>
    <row r="65" spans="1:61" x14ac:dyDescent="0.25">
      <c r="A65" t="str">
        <f>Datos!A66</f>
        <v>Lote 62</v>
      </c>
      <c r="B65" s="6">
        <f>Datos!B66</f>
        <v>0</v>
      </c>
      <c r="C65">
        <f>_xlfn.XLOOKUP(UM,Hoja1!A$2:A$7,Hoja1!B$2:B$7)*B65</f>
        <v>0</v>
      </c>
      <c r="D65" s="9">
        <f>IFERROR((Metros2*Datos!B66/(Datos!D66*Datos!C66)),0)</f>
        <v>0</v>
      </c>
      <c r="E65" s="6">
        <f t="shared" si="15"/>
        <v>0</v>
      </c>
      <c r="F65" s="12">
        <f t="shared" si="16"/>
        <v>0</v>
      </c>
      <c r="G65" s="6">
        <f t="shared" si="17"/>
        <v>0</v>
      </c>
      <c r="H65">
        <f t="shared" si="18"/>
        <v>0</v>
      </c>
      <c r="I65">
        <f t="shared" si="19"/>
        <v>0</v>
      </c>
      <c r="J65">
        <f t="shared" si="20"/>
        <v>0</v>
      </c>
      <c r="K65" s="9">
        <f>IF(Ciclo="_3_años",
IF(Datos!F66="Por_Surcos",
IF(Datos!G66&gt;=1,D65/3,0),
IF(Datos!F66="En_Bloque",
IF(Datos!G66=1,D65,0),
0)),0)</f>
        <v>0</v>
      </c>
      <c r="L65" s="17">
        <f>IF(Ciclo="_3_años",
IF(Datos!F66="Por_Surcos",
IF(Datos!G66&gt;=2,D65/3,0),
IF(Datos!F66="En_Bloque",
IF(Datos!G66=2,D65,0),
0)),0)</f>
        <v>0</v>
      </c>
      <c r="M65" s="9">
        <f>IF(Ciclo="_3_años",
IF(Datos!F66="Por_Surcos",
IF(Datos!G66&gt;=3,D65/3,0),
IF(Datos!F66="En_Bloque",
IF(Datos!G66=3,D65,0),
0)),0)</f>
        <v>0</v>
      </c>
      <c r="N65" s="9">
        <f>IF(Ciclo="_4_años",
IF(Datos!F66="Por_Surcos",
IF(Datos!G66&gt;=1,D65/4,0),
IF(Datos!F66="En_Bloque",
IF(Datos!G66=1,D65,0),
0)),0)</f>
        <v>0</v>
      </c>
      <c r="O65" s="9">
        <f>IF(Ciclo="_4_años",
IF(Datos!F66="Por_Surcos",
IF(Datos!G66&gt;=2,D65/4,0),
IF(Datos!F66="En_Bloque",
IF(Datos!G66=2,D65,0),
0)),0)</f>
        <v>0</v>
      </c>
      <c r="P65" s="9">
        <f>IF(Ciclo="_4_años",
IF(Datos!F66="Por_Surcos",
IF(Datos!G66&gt;=3,D65/4,0),
IF(Datos!F66="En_Bloque",
IF(Datos!G66=3,D65,0),
0)),0)</f>
        <v>0</v>
      </c>
      <c r="Q65" s="9">
        <f>IF(Ciclo="_4_años",
IF(Datos!F66="Por_Surcos",
IF(Datos!G66&gt;=4,D65/4,0),
IF(Datos!F66="En_Bloque",
IF(Datos!G66=4,D65,0),
0)),0)</f>
        <v>0</v>
      </c>
      <c r="R65" s="9">
        <f>IF(Ciclo="_5_años",
IF(Datos!F66="Por_Surcos",
IF(Datos!G66&gt;=1,D65/5,0),
IF(Datos!F66="En_Bloque",
IF(Datos!G66=1,D65,0),
0)),0)</f>
        <v>0</v>
      </c>
      <c r="S65" s="9">
        <f>IF(Ciclo="_5_años",
IF(Datos!F66="Por_Surcos",
IF(Datos!G66&gt;=2,D65/5,0),
IF(Datos!F66="En_Bloque",
IF(Datos!G66=2,D65,0),
0)),0)</f>
        <v>0</v>
      </c>
      <c r="T65" s="9">
        <f>IF(Ciclo="_5_años",
IF(Datos!F66="Por_Surcos",
IF(Datos!G66&gt;=3,D65/5,0),
IF(Datos!F66="En_Bloque",
IF(Datos!G66=3,D65,0),
0)),0)</f>
        <v>0</v>
      </c>
      <c r="U65" s="9">
        <f>IF(Ciclo="_5_años",
IF(Datos!F66="Por_Surcos",
IF(Datos!G66&gt;=4,D65/5,0),
IF(Datos!F66="En_Bloque",
IF(Datos!G66=4,D65,0),
0)),0)</f>
        <v>0</v>
      </c>
      <c r="V65" s="9">
        <f>IF(Ciclo="_5_años",
IF(Datos!F66="Por_Surcos",
IF(Datos!G66&gt;=5,D65/5,0),
IF(Datos!F66="En_Bloque",
IF(Datos!G66=5,D65,0),
0)),0)</f>
        <v>0</v>
      </c>
      <c r="W65" s="9">
        <f>(((L65*4.5)+(M65*12)+(O65*0.5)+(P65*4)+(Q65*8.5)+(S65*0.5)+(T65*4)+(U65*8.5)+(V65*6))*Datos!E66)/100</f>
        <v>0</v>
      </c>
      <c r="X65" s="6">
        <f t="shared" si="21"/>
        <v>0</v>
      </c>
      <c r="Y65" s="9">
        <f t="shared" si="45"/>
        <v>0</v>
      </c>
      <c r="Z65" s="9">
        <f t="shared" si="22"/>
        <v>0</v>
      </c>
      <c r="AA65" s="6">
        <f t="shared" si="23"/>
        <v>0</v>
      </c>
      <c r="AB65" s="9">
        <f t="shared" si="24"/>
        <v>0</v>
      </c>
      <c r="AC65" s="6">
        <f t="shared" si="25"/>
        <v>0</v>
      </c>
      <c r="AD65" s="6">
        <f t="shared" si="26"/>
        <v>0</v>
      </c>
      <c r="AE65" s="5">
        <f t="shared" si="27"/>
        <v>0</v>
      </c>
      <c r="AF65" s="5">
        <f>IF(Datos!F66="En_Bloque",0,IF(Datos!F66="Por_Surcos",IF(Datos!G66=1,E65/Plantas_Paliativa_Por_Dia,0),0))</f>
        <v>0</v>
      </c>
      <c r="AG65" s="5">
        <f t="shared" si="28"/>
        <v>0</v>
      </c>
      <c r="AH65" s="5">
        <f t="shared" si="29"/>
        <v>0</v>
      </c>
      <c r="AI65" s="5">
        <f t="shared" si="30"/>
        <v>0</v>
      </c>
      <c r="AJ65" s="5">
        <f t="shared" si="31"/>
        <v>0</v>
      </c>
      <c r="AK65" s="5">
        <f t="shared" si="32"/>
        <v>0</v>
      </c>
      <c r="AL65" s="5">
        <f t="shared" si="33"/>
        <v>0</v>
      </c>
      <c r="AM65" s="5">
        <f t="shared" si="34"/>
        <v>0</v>
      </c>
      <c r="AN65" s="5">
        <f t="shared" si="35"/>
        <v>0</v>
      </c>
      <c r="AO65" s="5">
        <f t="shared" si="36"/>
        <v>0</v>
      </c>
      <c r="AP65" s="5">
        <f t="shared" si="37"/>
        <v>0</v>
      </c>
      <c r="AQ65" s="5">
        <f t="shared" si="38"/>
        <v>0</v>
      </c>
      <c r="AR65" s="5">
        <f t="shared" si="46"/>
        <v>0</v>
      </c>
      <c r="AS65" s="6">
        <f>'Eficiencias &amp; Configuración'!B$12*Cálculos!C65</f>
        <v>0</v>
      </c>
      <c r="AT65" s="6">
        <f>IFERROR(('Eficiencias &amp; Configuración'!B$15*C65)*'Eficiencias &amp; Configuración'!B$14,0)</f>
        <v>0</v>
      </c>
      <c r="AU65">
        <f>C65*'Eficiencias &amp; Configuración'!B$16</f>
        <v>0</v>
      </c>
      <c r="AV65">
        <f>C65*'Eficiencias &amp; Configuración'!B$19</f>
        <v>0</v>
      </c>
      <c r="AW65">
        <f>(H65*Enfermedades_Crecimiento)*'Eficiencias &amp; Configuración'!B$18</f>
        <v>0</v>
      </c>
      <c r="AX65">
        <f>(I65+J65)*Enfermedades_Producción*'Eficiencias &amp; Configuración'!B$18</f>
        <v>0</v>
      </c>
      <c r="AY65" s="23">
        <f>W65*'Eficiencias &amp; Configuración'!B$24</f>
        <v>0</v>
      </c>
      <c r="AZ65" s="4">
        <f>(W65/5)*'Eficiencias &amp; Configuración'!B$25</f>
        <v>0</v>
      </c>
      <c r="BA65" s="5">
        <f t="shared" si="39"/>
        <v>0</v>
      </c>
      <c r="BB65" s="4">
        <f t="shared" si="40"/>
        <v>0</v>
      </c>
      <c r="BC65" s="4">
        <f t="shared" si="47"/>
        <v>0</v>
      </c>
      <c r="BD65" s="4">
        <f t="shared" si="41"/>
        <v>0</v>
      </c>
      <c r="BE65" s="5">
        <f t="shared" si="42"/>
        <v>0</v>
      </c>
      <c r="BF65" s="5">
        <f t="shared" si="43"/>
        <v>0</v>
      </c>
      <c r="BG65" s="5" t="e">
        <f t="shared" si="48"/>
        <v>#DIV/0!</v>
      </c>
      <c r="BH65" s="4">
        <f t="shared" si="49"/>
        <v>0</v>
      </c>
      <c r="BI65" s="4" t="e">
        <f t="shared" si="44"/>
        <v>#DIV/0!</v>
      </c>
    </row>
    <row r="66" spans="1:61" x14ac:dyDescent="0.25">
      <c r="A66" t="str">
        <f>Datos!A67</f>
        <v>Lote 63</v>
      </c>
      <c r="B66" s="6">
        <f>Datos!B67</f>
        <v>0</v>
      </c>
      <c r="C66">
        <f>_xlfn.XLOOKUP(UM,Hoja1!A$2:A$7,Hoja1!B$2:B$7)*B66</f>
        <v>0</v>
      </c>
      <c r="D66" s="9">
        <f>IFERROR((Metros2*Datos!B67/(Datos!D67*Datos!C67)),0)</f>
        <v>0</v>
      </c>
      <c r="E66" s="6">
        <f t="shared" si="15"/>
        <v>0</v>
      </c>
      <c r="F66" s="12">
        <f t="shared" si="16"/>
        <v>0</v>
      </c>
      <c r="G66" s="6">
        <f t="shared" si="17"/>
        <v>0</v>
      </c>
      <c r="H66">
        <f t="shared" si="18"/>
        <v>0</v>
      </c>
      <c r="I66">
        <f t="shared" si="19"/>
        <v>0</v>
      </c>
      <c r="J66">
        <f t="shared" si="20"/>
        <v>0</v>
      </c>
      <c r="K66" s="9">
        <f>IF(Ciclo="_3_años",
IF(Datos!F67="Por_Surcos",
IF(Datos!G67&gt;=1,D66/3,0),
IF(Datos!F67="En_Bloque",
IF(Datos!G67=1,D66,0),
0)),0)</f>
        <v>0</v>
      </c>
      <c r="L66" s="17">
        <f>IF(Ciclo="_3_años",
IF(Datos!F67="Por_Surcos",
IF(Datos!G67&gt;=2,D66/3,0),
IF(Datos!F67="En_Bloque",
IF(Datos!G67=2,D66,0),
0)),0)</f>
        <v>0</v>
      </c>
      <c r="M66" s="9">
        <f>IF(Ciclo="_3_años",
IF(Datos!F67="Por_Surcos",
IF(Datos!G67&gt;=3,D66/3,0),
IF(Datos!F67="En_Bloque",
IF(Datos!G67=3,D66,0),
0)),0)</f>
        <v>0</v>
      </c>
      <c r="N66" s="9">
        <f>IF(Ciclo="_4_años",
IF(Datos!F67="Por_Surcos",
IF(Datos!G67&gt;=1,D66/4,0),
IF(Datos!F67="En_Bloque",
IF(Datos!G67=1,D66,0),
0)),0)</f>
        <v>0</v>
      </c>
      <c r="O66" s="9">
        <f>IF(Ciclo="_4_años",
IF(Datos!F67="Por_Surcos",
IF(Datos!G67&gt;=2,D66/4,0),
IF(Datos!F67="En_Bloque",
IF(Datos!G67=2,D66,0),
0)),0)</f>
        <v>0</v>
      </c>
      <c r="P66" s="9">
        <f>IF(Ciclo="_4_años",
IF(Datos!F67="Por_Surcos",
IF(Datos!G67&gt;=3,D66/4,0),
IF(Datos!F67="En_Bloque",
IF(Datos!G67=3,D66,0),
0)),0)</f>
        <v>0</v>
      </c>
      <c r="Q66" s="9">
        <f>IF(Ciclo="_4_años",
IF(Datos!F67="Por_Surcos",
IF(Datos!G67&gt;=4,D66/4,0),
IF(Datos!F67="En_Bloque",
IF(Datos!G67=4,D66,0),
0)),0)</f>
        <v>0</v>
      </c>
      <c r="R66" s="9">
        <f>IF(Ciclo="_5_años",
IF(Datos!F67="Por_Surcos",
IF(Datos!G67&gt;=1,D66/5,0),
IF(Datos!F67="En_Bloque",
IF(Datos!G67=1,D66,0),
0)),0)</f>
        <v>0</v>
      </c>
      <c r="S66" s="9">
        <f>IF(Ciclo="_5_años",
IF(Datos!F67="Por_Surcos",
IF(Datos!G67&gt;=2,D66/5,0),
IF(Datos!F67="En_Bloque",
IF(Datos!G67=2,D66,0),
0)),0)</f>
        <v>0</v>
      </c>
      <c r="T66" s="9">
        <f>IF(Ciclo="_5_años",
IF(Datos!F67="Por_Surcos",
IF(Datos!G67&gt;=3,D66/5,0),
IF(Datos!F67="En_Bloque",
IF(Datos!G67=3,D66,0),
0)),0)</f>
        <v>0</v>
      </c>
      <c r="U66" s="9">
        <f>IF(Ciclo="_5_años",
IF(Datos!F67="Por_Surcos",
IF(Datos!G67&gt;=4,D66/5,0),
IF(Datos!F67="En_Bloque",
IF(Datos!G67=4,D66,0),
0)),0)</f>
        <v>0</v>
      </c>
      <c r="V66" s="9">
        <f>IF(Ciclo="_5_años",
IF(Datos!F67="Por_Surcos",
IF(Datos!G67&gt;=5,D66/5,0),
IF(Datos!F67="En_Bloque",
IF(Datos!G67=5,D66,0),
0)),0)</f>
        <v>0</v>
      </c>
      <c r="W66" s="9">
        <f>(((L66*4.5)+(M66*12)+(O66*0.5)+(P66*4)+(Q66*8.5)+(S66*0.5)+(T66*4)+(U66*8.5)+(V66*6))*Datos!E67)/100</f>
        <v>0</v>
      </c>
      <c r="X66" s="6">
        <f t="shared" si="21"/>
        <v>0</v>
      </c>
      <c r="Y66" s="9">
        <f t="shared" si="45"/>
        <v>0</v>
      </c>
      <c r="Z66" s="9">
        <f t="shared" si="22"/>
        <v>0</v>
      </c>
      <c r="AA66" s="6">
        <f t="shared" si="23"/>
        <v>0</v>
      </c>
      <c r="AB66" s="9">
        <f t="shared" si="24"/>
        <v>0</v>
      </c>
      <c r="AC66" s="6">
        <f t="shared" si="25"/>
        <v>0</v>
      </c>
      <c r="AD66" s="6">
        <f t="shared" si="26"/>
        <v>0</v>
      </c>
      <c r="AE66" s="5">
        <f t="shared" si="27"/>
        <v>0</v>
      </c>
      <c r="AF66" s="5">
        <f>IF(Datos!F67="En_Bloque",0,IF(Datos!F67="Por_Surcos",IF(Datos!G67=1,E66/Plantas_Paliativa_Por_Dia,0),0))</f>
        <v>0</v>
      </c>
      <c r="AG66" s="5">
        <f t="shared" si="28"/>
        <v>0</v>
      </c>
      <c r="AH66" s="5">
        <f t="shared" si="29"/>
        <v>0</v>
      </c>
      <c r="AI66" s="5">
        <f t="shared" si="30"/>
        <v>0</v>
      </c>
      <c r="AJ66" s="5">
        <f t="shared" si="31"/>
        <v>0</v>
      </c>
      <c r="AK66" s="5">
        <f t="shared" si="32"/>
        <v>0</v>
      </c>
      <c r="AL66" s="5">
        <f t="shared" si="33"/>
        <v>0</v>
      </c>
      <c r="AM66" s="5">
        <f t="shared" si="34"/>
        <v>0</v>
      </c>
      <c r="AN66" s="5">
        <f t="shared" si="35"/>
        <v>0</v>
      </c>
      <c r="AO66" s="5">
        <f t="shared" si="36"/>
        <v>0</v>
      </c>
      <c r="AP66" s="5">
        <f t="shared" si="37"/>
        <v>0</v>
      </c>
      <c r="AQ66" s="5">
        <f t="shared" si="38"/>
        <v>0</v>
      </c>
      <c r="AR66" s="5">
        <f t="shared" si="46"/>
        <v>0</v>
      </c>
      <c r="AS66" s="6">
        <f>'Eficiencias &amp; Configuración'!B$12*Cálculos!C66</f>
        <v>0</v>
      </c>
      <c r="AT66" s="6">
        <f>IFERROR(('Eficiencias &amp; Configuración'!B$15*C66)*'Eficiencias &amp; Configuración'!B$14,0)</f>
        <v>0</v>
      </c>
      <c r="AU66">
        <f>C66*'Eficiencias &amp; Configuración'!B$16</f>
        <v>0</v>
      </c>
      <c r="AV66">
        <f>C66*'Eficiencias &amp; Configuración'!B$19</f>
        <v>0</v>
      </c>
      <c r="AW66">
        <f>(H66*Enfermedades_Crecimiento)*'Eficiencias &amp; Configuración'!B$18</f>
        <v>0</v>
      </c>
      <c r="AX66">
        <f>(I66+J66)*Enfermedades_Producción*'Eficiencias &amp; Configuración'!B$18</f>
        <v>0</v>
      </c>
      <c r="AY66" s="23">
        <f>W66*'Eficiencias &amp; Configuración'!B$24</f>
        <v>0</v>
      </c>
      <c r="AZ66" s="4">
        <f>(W66/5)*'Eficiencias &amp; Configuración'!B$25</f>
        <v>0</v>
      </c>
      <c r="BA66" s="5">
        <f t="shared" si="39"/>
        <v>0</v>
      </c>
      <c r="BB66" s="4">
        <f t="shared" si="40"/>
        <v>0</v>
      </c>
      <c r="BC66" s="4">
        <f t="shared" si="47"/>
        <v>0</v>
      </c>
      <c r="BD66" s="4">
        <f t="shared" si="41"/>
        <v>0</v>
      </c>
      <c r="BE66" s="5">
        <f t="shared" si="42"/>
        <v>0</v>
      </c>
      <c r="BF66" s="5">
        <f t="shared" si="43"/>
        <v>0</v>
      </c>
      <c r="BG66" s="5" t="e">
        <f t="shared" si="48"/>
        <v>#DIV/0!</v>
      </c>
      <c r="BH66" s="4">
        <f t="shared" si="49"/>
        <v>0</v>
      </c>
      <c r="BI66" s="4" t="e">
        <f t="shared" si="44"/>
        <v>#DIV/0!</v>
      </c>
    </row>
    <row r="67" spans="1:61" x14ac:dyDescent="0.25">
      <c r="A67" t="str">
        <f>Datos!A68</f>
        <v>Lote 64</v>
      </c>
      <c r="B67" s="6">
        <f>Datos!B68</f>
        <v>0</v>
      </c>
      <c r="C67">
        <f>_xlfn.XLOOKUP(UM,Hoja1!A$2:A$7,Hoja1!B$2:B$7)*B67</f>
        <v>0</v>
      </c>
      <c r="D67" s="9">
        <f>IFERROR((Metros2*Datos!B68/(Datos!D68*Datos!C68)),0)</f>
        <v>0</v>
      </c>
      <c r="E67" s="6">
        <f t="shared" si="15"/>
        <v>0</v>
      </c>
      <c r="F67" s="12">
        <f t="shared" si="16"/>
        <v>0</v>
      </c>
      <c r="G67" s="6">
        <f t="shared" si="17"/>
        <v>0</v>
      </c>
      <c r="H67">
        <f t="shared" si="18"/>
        <v>0</v>
      </c>
      <c r="I67">
        <f t="shared" si="19"/>
        <v>0</v>
      </c>
      <c r="J67">
        <f t="shared" si="20"/>
        <v>0</v>
      </c>
      <c r="K67" s="9">
        <f>IF(Ciclo="_3_años",
IF(Datos!F68="Por_Surcos",
IF(Datos!G68&gt;=1,D67/3,0),
IF(Datos!F68="En_Bloque",
IF(Datos!G68=1,D67,0),
0)),0)</f>
        <v>0</v>
      </c>
      <c r="L67" s="17">
        <f>IF(Ciclo="_3_años",
IF(Datos!F68="Por_Surcos",
IF(Datos!G68&gt;=2,D67/3,0),
IF(Datos!F68="En_Bloque",
IF(Datos!G68=2,D67,0),
0)),0)</f>
        <v>0</v>
      </c>
      <c r="M67" s="9">
        <f>IF(Ciclo="_3_años",
IF(Datos!F68="Por_Surcos",
IF(Datos!G68&gt;=3,D67/3,0),
IF(Datos!F68="En_Bloque",
IF(Datos!G68=3,D67,0),
0)),0)</f>
        <v>0</v>
      </c>
      <c r="N67" s="9">
        <f>IF(Ciclo="_4_años",
IF(Datos!F68="Por_Surcos",
IF(Datos!G68&gt;=1,D67/4,0),
IF(Datos!F68="En_Bloque",
IF(Datos!G68=1,D67,0),
0)),0)</f>
        <v>0</v>
      </c>
      <c r="O67" s="9">
        <f>IF(Ciclo="_4_años",
IF(Datos!F68="Por_Surcos",
IF(Datos!G68&gt;=2,D67/4,0),
IF(Datos!F68="En_Bloque",
IF(Datos!G68=2,D67,0),
0)),0)</f>
        <v>0</v>
      </c>
      <c r="P67" s="9">
        <f>IF(Ciclo="_4_años",
IF(Datos!F68="Por_Surcos",
IF(Datos!G68&gt;=3,D67/4,0),
IF(Datos!F68="En_Bloque",
IF(Datos!G68=3,D67,0),
0)),0)</f>
        <v>0</v>
      </c>
      <c r="Q67" s="9">
        <f>IF(Ciclo="_4_años",
IF(Datos!F68="Por_Surcos",
IF(Datos!G68&gt;=4,D67/4,0),
IF(Datos!F68="En_Bloque",
IF(Datos!G68=4,D67,0),
0)),0)</f>
        <v>0</v>
      </c>
      <c r="R67" s="9">
        <f>IF(Ciclo="_5_años",
IF(Datos!F68="Por_Surcos",
IF(Datos!G68&gt;=1,D67/5,0),
IF(Datos!F68="En_Bloque",
IF(Datos!G68=1,D67,0),
0)),0)</f>
        <v>0</v>
      </c>
      <c r="S67" s="9">
        <f>IF(Ciclo="_5_años",
IF(Datos!F68="Por_Surcos",
IF(Datos!G68&gt;=2,D67/5,0),
IF(Datos!F68="En_Bloque",
IF(Datos!G68=2,D67,0),
0)),0)</f>
        <v>0</v>
      </c>
      <c r="T67" s="9">
        <f>IF(Ciclo="_5_años",
IF(Datos!F68="Por_Surcos",
IF(Datos!G68&gt;=3,D67/5,0),
IF(Datos!F68="En_Bloque",
IF(Datos!G68=3,D67,0),
0)),0)</f>
        <v>0</v>
      </c>
      <c r="U67" s="9">
        <f>IF(Ciclo="_5_años",
IF(Datos!F68="Por_Surcos",
IF(Datos!G68&gt;=4,D67/5,0),
IF(Datos!F68="En_Bloque",
IF(Datos!G68=4,D67,0),
0)),0)</f>
        <v>0</v>
      </c>
      <c r="V67" s="9">
        <f>IF(Ciclo="_5_años",
IF(Datos!F68="Por_Surcos",
IF(Datos!G68&gt;=5,D67/5,0),
IF(Datos!F68="En_Bloque",
IF(Datos!G68=5,D67,0),
0)),0)</f>
        <v>0</v>
      </c>
      <c r="W67" s="9">
        <f>(((L67*4.5)+(M67*12)+(O67*0.5)+(P67*4)+(Q67*8.5)+(S67*0.5)+(T67*4)+(U67*8.5)+(V67*6))*Datos!E68)/100</f>
        <v>0</v>
      </c>
      <c r="X67" s="6">
        <f t="shared" si="21"/>
        <v>0</v>
      </c>
      <c r="Y67" s="9">
        <f t="shared" si="45"/>
        <v>0</v>
      </c>
      <c r="Z67" s="9">
        <f t="shared" si="22"/>
        <v>0</v>
      </c>
      <c r="AA67" s="6">
        <f t="shared" si="23"/>
        <v>0</v>
      </c>
      <c r="AB67" s="9">
        <f t="shared" si="24"/>
        <v>0</v>
      </c>
      <c r="AC67" s="6">
        <f t="shared" si="25"/>
        <v>0</v>
      </c>
      <c r="AD67" s="6">
        <f t="shared" si="26"/>
        <v>0</v>
      </c>
      <c r="AE67" s="5">
        <f t="shared" si="27"/>
        <v>0</v>
      </c>
      <c r="AF67" s="5">
        <f>IF(Datos!F68="En_Bloque",0,IF(Datos!F68="Por_Surcos",IF(Datos!G68=1,E67/Plantas_Paliativa_Por_Dia,0),0))</f>
        <v>0</v>
      </c>
      <c r="AG67" s="5">
        <f t="shared" si="28"/>
        <v>0</v>
      </c>
      <c r="AH67" s="5">
        <f t="shared" si="29"/>
        <v>0</v>
      </c>
      <c r="AI67" s="5">
        <f t="shared" si="30"/>
        <v>0</v>
      </c>
      <c r="AJ67" s="5">
        <f t="shared" si="31"/>
        <v>0</v>
      </c>
      <c r="AK67" s="5">
        <f t="shared" si="32"/>
        <v>0</v>
      </c>
      <c r="AL67" s="5">
        <f t="shared" si="33"/>
        <v>0</v>
      </c>
      <c r="AM67" s="5">
        <f t="shared" si="34"/>
        <v>0</v>
      </c>
      <c r="AN67" s="5">
        <f t="shared" si="35"/>
        <v>0</v>
      </c>
      <c r="AO67" s="5">
        <f t="shared" si="36"/>
        <v>0</v>
      </c>
      <c r="AP67" s="5">
        <f t="shared" si="37"/>
        <v>0</v>
      </c>
      <c r="AQ67" s="5">
        <f t="shared" si="38"/>
        <v>0</v>
      </c>
      <c r="AR67" s="5">
        <f t="shared" si="46"/>
        <v>0</v>
      </c>
      <c r="AS67" s="6">
        <f>'Eficiencias &amp; Configuración'!B$12*Cálculos!C67</f>
        <v>0</v>
      </c>
      <c r="AT67" s="6">
        <f>IFERROR(('Eficiencias &amp; Configuración'!B$15*C67)*'Eficiencias &amp; Configuración'!B$14,0)</f>
        <v>0</v>
      </c>
      <c r="AU67">
        <f>C67*'Eficiencias &amp; Configuración'!B$16</f>
        <v>0</v>
      </c>
      <c r="AV67">
        <f>C67*'Eficiencias &amp; Configuración'!B$19</f>
        <v>0</v>
      </c>
      <c r="AW67">
        <f>(H67*Enfermedades_Crecimiento)*'Eficiencias &amp; Configuración'!B$18</f>
        <v>0</v>
      </c>
      <c r="AX67">
        <f>(I67+J67)*Enfermedades_Producción*'Eficiencias &amp; Configuración'!B$18</f>
        <v>0</v>
      </c>
      <c r="AY67" s="23">
        <f>W67*'Eficiencias &amp; Configuración'!B$24</f>
        <v>0</v>
      </c>
      <c r="AZ67" s="4">
        <f>(W67/5)*'Eficiencias &amp; Configuración'!B$25</f>
        <v>0</v>
      </c>
      <c r="BA67" s="5">
        <f t="shared" si="39"/>
        <v>0</v>
      </c>
      <c r="BB67" s="4">
        <f t="shared" si="40"/>
        <v>0</v>
      </c>
      <c r="BC67" s="4">
        <f t="shared" si="47"/>
        <v>0</v>
      </c>
      <c r="BD67" s="4">
        <f t="shared" si="41"/>
        <v>0</v>
      </c>
      <c r="BE67" s="5">
        <f t="shared" si="42"/>
        <v>0</v>
      </c>
      <c r="BF67" s="5">
        <f t="shared" si="43"/>
        <v>0</v>
      </c>
      <c r="BG67" s="5" t="e">
        <f t="shared" si="48"/>
        <v>#DIV/0!</v>
      </c>
      <c r="BH67" s="4">
        <f t="shared" si="49"/>
        <v>0</v>
      </c>
      <c r="BI67" s="4" t="e">
        <f t="shared" si="44"/>
        <v>#DIV/0!</v>
      </c>
    </row>
    <row r="68" spans="1:61" x14ac:dyDescent="0.25">
      <c r="A68" t="str">
        <f>Datos!A69</f>
        <v>Lote 65</v>
      </c>
      <c r="B68" s="6">
        <f>Datos!B69</f>
        <v>0</v>
      </c>
      <c r="C68">
        <f>_xlfn.XLOOKUP(UM,Hoja1!A$2:A$7,Hoja1!B$2:B$7)*B68</f>
        <v>0</v>
      </c>
      <c r="D68" s="9">
        <f>IFERROR((Metros2*Datos!B69/(Datos!D69*Datos!C69)),0)</f>
        <v>0</v>
      </c>
      <c r="E68" s="6">
        <f t="shared" si="15"/>
        <v>0</v>
      </c>
      <c r="F68" s="12">
        <f t="shared" si="16"/>
        <v>0</v>
      </c>
      <c r="G68" s="6">
        <f t="shared" si="17"/>
        <v>0</v>
      </c>
      <c r="H68">
        <f t="shared" si="18"/>
        <v>0</v>
      </c>
      <c r="I68">
        <f t="shared" si="19"/>
        <v>0</v>
      </c>
      <c r="J68">
        <f t="shared" si="20"/>
        <v>0</v>
      </c>
      <c r="K68" s="9">
        <f>IF(Ciclo="_3_años",
IF(Datos!F69="Por_Surcos",
IF(Datos!G69&gt;=1,D68/3,0),
IF(Datos!F69="En_Bloque",
IF(Datos!G69=1,D68,0),
0)),0)</f>
        <v>0</v>
      </c>
      <c r="L68" s="17">
        <f>IF(Ciclo="_3_años",
IF(Datos!F69="Por_Surcos",
IF(Datos!G69&gt;=2,D68/3,0),
IF(Datos!F69="En_Bloque",
IF(Datos!G69=2,D68,0),
0)),0)</f>
        <v>0</v>
      </c>
      <c r="M68" s="9">
        <f>IF(Ciclo="_3_años",
IF(Datos!F69="Por_Surcos",
IF(Datos!G69&gt;=3,D68/3,0),
IF(Datos!F69="En_Bloque",
IF(Datos!G69=3,D68,0),
0)),0)</f>
        <v>0</v>
      </c>
      <c r="N68" s="9">
        <f>IF(Ciclo="_4_años",
IF(Datos!F69="Por_Surcos",
IF(Datos!G69&gt;=1,D68/4,0),
IF(Datos!F69="En_Bloque",
IF(Datos!G69=1,D68,0),
0)),0)</f>
        <v>0</v>
      </c>
      <c r="O68" s="9">
        <f>IF(Ciclo="_4_años",
IF(Datos!F69="Por_Surcos",
IF(Datos!G69&gt;=2,D68/4,0),
IF(Datos!F69="En_Bloque",
IF(Datos!G69=2,D68,0),
0)),0)</f>
        <v>0</v>
      </c>
      <c r="P68" s="9">
        <f>IF(Ciclo="_4_años",
IF(Datos!F69="Por_Surcos",
IF(Datos!G69&gt;=3,D68/4,0),
IF(Datos!F69="En_Bloque",
IF(Datos!G69=3,D68,0),
0)),0)</f>
        <v>0</v>
      </c>
      <c r="Q68" s="9">
        <f>IF(Ciclo="_4_años",
IF(Datos!F69="Por_Surcos",
IF(Datos!G69&gt;=4,D68/4,0),
IF(Datos!F69="En_Bloque",
IF(Datos!G69=4,D68,0),
0)),0)</f>
        <v>0</v>
      </c>
      <c r="R68" s="9">
        <f>IF(Ciclo="_5_años",
IF(Datos!F69="Por_Surcos",
IF(Datos!G69&gt;=1,D68/5,0),
IF(Datos!F69="En_Bloque",
IF(Datos!G69=1,D68,0),
0)),0)</f>
        <v>0</v>
      </c>
      <c r="S68" s="9">
        <f>IF(Ciclo="_5_años",
IF(Datos!F69="Por_Surcos",
IF(Datos!G69&gt;=2,D68/5,0),
IF(Datos!F69="En_Bloque",
IF(Datos!G69=2,D68,0),
0)),0)</f>
        <v>0</v>
      </c>
      <c r="T68" s="9">
        <f>IF(Ciclo="_5_años",
IF(Datos!F69="Por_Surcos",
IF(Datos!G69&gt;=3,D68/5,0),
IF(Datos!F69="En_Bloque",
IF(Datos!G69=3,D68,0),
0)),0)</f>
        <v>0</v>
      </c>
      <c r="U68" s="9">
        <f>IF(Ciclo="_5_años",
IF(Datos!F69="Por_Surcos",
IF(Datos!G69&gt;=4,D68/5,0),
IF(Datos!F69="En_Bloque",
IF(Datos!G69=4,D68,0),
0)),0)</f>
        <v>0</v>
      </c>
      <c r="V68" s="9">
        <f>IF(Ciclo="_5_años",
IF(Datos!F69="Por_Surcos",
IF(Datos!G69&gt;=5,D68/5,0),
IF(Datos!F69="En_Bloque",
IF(Datos!G69=5,D68,0),
0)),0)</f>
        <v>0</v>
      </c>
      <c r="W68" s="9">
        <f>(((L68*4.5)+(M68*12)+(O68*0.5)+(P68*4)+(Q68*8.5)+(S68*0.5)+(T68*4)+(U68*8.5)+(V68*6))*Datos!E69)/100</f>
        <v>0</v>
      </c>
      <c r="X68" s="6">
        <f t="shared" si="21"/>
        <v>0</v>
      </c>
      <c r="Y68" s="9">
        <f t="shared" ref="Y68:Y78" si="50">(150/(45.36*Formula_N)*100)*I68</f>
        <v>0</v>
      </c>
      <c r="Z68" s="9">
        <f t="shared" si="22"/>
        <v>0</v>
      </c>
      <c r="AA68" s="6">
        <f t="shared" si="23"/>
        <v>0</v>
      </c>
      <c r="AB68" s="9">
        <f t="shared" si="24"/>
        <v>0</v>
      </c>
      <c r="AC68" s="6">
        <f t="shared" si="25"/>
        <v>0</v>
      </c>
      <c r="AD68" s="6">
        <f t="shared" si="26"/>
        <v>0</v>
      </c>
      <c r="AE68" s="5">
        <f t="shared" si="27"/>
        <v>0</v>
      </c>
      <c r="AF68" s="5">
        <f>IF(Datos!F69="En_Bloque",0,IF(Datos!F69="Por_Surcos",IF(Datos!G69=1,E68/Plantas_Paliativa_Por_Dia,0),0))</f>
        <v>0</v>
      </c>
      <c r="AG68" s="5">
        <f t="shared" si="28"/>
        <v>0</v>
      </c>
      <c r="AH68" s="5">
        <f t="shared" si="29"/>
        <v>0</v>
      </c>
      <c r="AI68" s="5">
        <f t="shared" si="30"/>
        <v>0</v>
      </c>
      <c r="AJ68" s="5">
        <f t="shared" si="31"/>
        <v>0</v>
      </c>
      <c r="AK68" s="5">
        <f t="shared" si="32"/>
        <v>0</v>
      </c>
      <c r="AL68" s="5">
        <f t="shared" si="33"/>
        <v>0</v>
      </c>
      <c r="AM68" s="5">
        <f t="shared" si="34"/>
        <v>0</v>
      </c>
      <c r="AN68" s="5">
        <f t="shared" si="35"/>
        <v>0</v>
      </c>
      <c r="AO68" s="5">
        <f t="shared" si="36"/>
        <v>0</v>
      </c>
      <c r="AP68" s="5">
        <f t="shared" si="37"/>
        <v>0</v>
      </c>
      <c r="AQ68" s="5">
        <f t="shared" si="38"/>
        <v>0</v>
      </c>
      <c r="AR68" s="5">
        <f t="shared" ref="AR68:AR78" si="51">(X68+AC68+AD68)/Quintales_Fertilizante_Por_Jornal</f>
        <v>0</v>
      </c>
      <c r="AS68" s="6">
        <f>'Eficiencias &amp; Configuración'!B$12*Cálculos!C68</f>
        <v>0</v>
      </c>
      <c r="AT68" s="6">
        <f>IFERROR(('Eficiencias &amp; Configuración'!B$15*C68)*'Eficiencias &amp; Configuración'!B$14,0)</f>
        <v>0</v>
      </c>
      <c r="AU68">
        <f>C68*'Eficiencias &amp; Configuración'!B$16</f>
        <v>0</v>
      </c>
      <c r="AV68">
        <f>C68*'Eficiencias &amp; Configuración'!B$19</f>
        <v>0</v>
      </c>
      <c r="AW68">
        <f>(H68*Enfermedades_Crecimiento)*'Eficiencias &amp; Configuración'!B$18</f>
        <v>0</v>
      </c>
      <c r="AX68">
        <f>(I68+J68)*Enfermedades_Producción*'Eficiencias &amp; Configuración'!B$18</f>
        <v>0</v>
      </c>
      <c r="AY68" s="23">
        <f>W68*'Eficiencias &amp; Configuración'!B$24</f>
        <v>0</v>
      </c>
      <c r="AZ68" s="4">
        <f>(W68/5)*'Eficiencias &amp; Configuración'!B$25</f>
        <v>0</v>
      </c>
      <c r="BA68" s="5">
        <f t="shared" si="39"/>
        <v>0</v>
      </c>
      <c r="BB68" s="4">
        <f t="shared" si="40"/>
        <v>0</v>
      </c>
      <c r="BC68" s="4">
        <f t="shared" ref="BC68:BC78" si="52">(AS68*Costo_Herbicida)+(AV68*Costo_Fungicida)+(AH68*Costo_Fertilizante)</f>
        <v>0</v>
      </c>
      <c r="BD68" s="4">
        <f t="shared" si="41"/>
        <v>0</v>
      </c>
      <c r="BE68" s="5">
        <f t="shared" si="42"/>
        <v>0</v>
      </c>
      <c r="BF68" s="5">
        <f t="shared" si="43"/>
        <v>0</v>
      </c>
      <c r="BG68" s="5" t="e">
        <f t="shared" ref="BG68:BG78" si="53">Gastos_Administrativos/SUM(Áreas)*B68</f>
        <v>#DIV/0!</v>
      </c>
      <c r="BH68" s="4">
        <f t="shared" ref="BH68:BH78" si="54">(W68*0.9*Precio_Venta_Primera)+(W68*0.07*Precio_Venta_Segunda)+(W68*0.03*Precio_Venta_Inferior)</f>
        <v>0</v>
      </c>
      <c r="BI68" s="4" t="e">
        <f t="shared" si="44"/>
        <v>#DIV/0!</v>
      </c>
    </row>
    <row r="69" spans="1:61" x14ac:dyDescent="0.25">
      <c r="A69" t="str">
        <f>Datos!A70</f>
        <v>Lote 66</v>
      </c>
      <c r="B69" s="6">
        <f>Datos!B70</f>
        <v>0</v>
      </c>
      <c r="C69">
        <f>_xlfn.XLOOKUP(UM,Hoja1!A$2:A$7,Hoja1!B$2:B$7)*B69</f>
        <v>0</v>
      </c>
      <c r="D69" s="9">
        <f>IFERROR((Metros2*Datos!B70/(Datos!D70*Datos!C70)),0)</f>
        <v>0</v>
      </c>
      <c r="E69" s="6">
        <f t="shared" ref="E69:E78" si="55">K69+N69+R69</f>
        <v>0</v>
      </c>
      <c r="F69" s="12">
        <f t="shared" ref="F69:F78" si="56">L69+O69+P69+S69+T69</f>
        <v>0</v>
      </c>
      <c r="G69" s="6">
        <f t="shared" ref="G69:G78" si="57">M69+Q69+U69+V69</f>
        <v>0</v>
      </c>
      <c r="H69">
        <f t="shared" ref="H69:H78" si="58">IFERROR((C69/D69)*E69,0)</f>
        <v>0</v>
      </c>
      <c r="I69">
        <f t="shared" ref="I69:I78" si="59">IFERROR((C69/D69)*F69,0)</f>
        <v>0</v>
      </c>
      <c r="J69">
        <f t="shared" ref="J69:J78" si="60">IFERROR((C69/D69)*G69,0)</f>
        <v>0</v>
      </c>
      <c r="K69" s="9">
        <f>IF(Ciclo="_3_años",
IF(Datos!F70="Por_Surcos",
IF(Datos!G70&gt;=1,D69/3,0),
IF(Datos!F70="En_Bloque",
IF(Datos!G70=1,D69,0),
0)),0)</f>
        <v>0</v>
      </c>
      <c r="L69" s="17">
        <f>IF(Ciclo="_3_años",
IF(Datos!F70="Por_Surcos",
IF(Datos!G70&gt;=2,D69/3,0),
IF(Datos!F70="En_Bloque",
IF(Datos!G70=2,D69,0),
0)),0)</f>
        <v>0</v>
      </c>
      <c r="M69" s="9">
        <f>IF(Ciclo="_3_años",
IF(Datos!F70="Por_Surcos",
IF(Datos!G70&gt;=3,D69/3,0),
IF(Datos!F70="En_Bloque",
IF(Datos!G70=3,D69,0),
0)),0)</f>
        <v>0</v>
      </c>
      <c r="N69" s="9">
        <f>IF(Ciclo="_4_años",
IF(Datos!F70="Por_Surcos",
IF(Datos!G70&gt;=1,D69/4,0),
IF(Datos!F70="En_Bloque",
IF(Datos!G70=1,D69,0),
0)),0)</f>
        <v>0</v>
      </c>
      <c r="O69" s="9">
        <f>IF(Ciclo="_4_años",
IF(Datos!F70="Por_Surcos",
IF(Datos!G70&gt;=2,D69/4,0),
IF(Datos!F70="En_Bloque",
IF(Datos!G70=2,D69,0),
0)),0)</f>
        <v>0</v>
      </c>
      <c r="P69" s="9">
        <f>IF(Ciclo="_4_años",
IF(Datos!F70="Por_Surcos",
IF(Datos!G70&gt;=3,D69/4,0),
IF(Datos!F70="En_Bloque",
IF(Datos!G70=3,D69,0),
0)),0)</f>
        <v>0</v>
      </c>
      <c r="Q69" s="9">
        <f>IF(Ciclo="_4_años",
IF(Datos!F70="Por_Surcos",
IF(Datos!G70&gt;=4,D69/4,0),
IF(Datos!F70="En_Bloque",
IF(Datos!G70=4,D69,0),
0)),0)</f>
        <v>0</v>
      </c>
      <c r="R69" s="9">
        <f>IF(Ciclo="_5_años",
IF(Datos!F70="Por_Surcos",
IF(Datos!G70&gt;=1,D69/5,0),
IF(Datos!F70="En_Bloque",
IF(Datos!G70=1,D69,0),
0)),0)</f>
        <v>0</v>
      </c>
      <c r="S69" s="9">
        <f>IF(Ciclo="_5_años",
IF(Datos!F70="Por_Surcos",
IF(Datos!G70&gt;=2,D69/5,0),
IF(Datos!F70="En_Bloque",
IF(Datos!G70=2,D69,0),
0)),0)</f>
        <v>0</v>
      </c>
      <c r="T69" s="9">
        <f>IF(Ciclo="_5_años",
IF(Datos!F70="Por_Surcos",
IF(Datos!G70&gt;=3,D69/5,0),
IF(Datos!F70="En_Bloque",
IF(Datos!G70=3,D69,0),
0)),0)</f>
        <v>0</v>
      </c>
      <c r="U69" s="9">
        <f>IF(Ciclo="_5_años",
IF(Datos!F70="Por_Surcos",
IF(Datos!G70&gt;=4,D69/5,0),
IF(Datos!F70="En_Bloque",
IF(Datos!G70=4,D69,0),
0)),0)</f>
        <v>0</v>
      </c>
      <c r="V69" s="9">
        <f>IF(Ciclo="_5_años",
IF(Datos!F70="Por_Surcos",
IF(Datos!G70&gt;=5,D69/5,0),
IF(Datos!F70="En_Bloque",
IF(Datos!G70=5,D69,0),
0)),0)</f>
        <v>0</v>
      </c>
      <c r="W69" s="9">
        <f>(((L69*4.5)+(M69*12)+(O69*0.5)+(P69*4)+(Q69*8.5)+(S69*0.5)+(T69*4)+(U69*8.5)+(V69*6))*Datos!E70)/100</f>
        <v>0</v>
      </c>
      <c r="X69" s="6">
        <f t="shared" ref="X69:X78" si="61">(75/(45.36*Formula_N)*100)*H69</f>
        <v>0</v>
      </c>
      <c r="Y69" s="9">
        <f t="shared" si="50"/>
        <v>0</v>
      </c>
      <c r="Z69" s="9">
        <f t="shared" ref="Z69:Z78" si="62">(75/(45.36*Formula_N)*100)*J69</f>
        <v>0</v>
      </c>
      <c r="AA69" s="6">
        <f t="shared" ref="AA69:AA78" si="63">((((L69*4.5)+(O69*0.5)+(S69*0.5)+(T69*4))/100)/22.025)*5/(45.36 * Formula_N) * 100</f>
        <v>0</v>
      </c>
      <c r="AB69" s="9">
        <f t="shared" ref="AB69:AB78" si="64">((((M69*12)+(Q69*8.5)+(U69*8.5)+(V69*6))/100)/22.025)*5/(45.36 * Formula_N) * 100</f>
        <v>0</v>
      </c>
      <c r="AC69" s="6">
        <f t="shared" ref="AC69:AC78" si="65">Y69+AA69</f>
        <v>0</v>
      </c>
      <c r="AD69" s="6">
        <f t="shared" ref="AD69:AD78" si="66">Z69+AB69</f>
        <v>0</v>
      </c>
      <c r="AE69" s="5">
        <f t="shared" ref="AE69:AE78" si="67">E69/Plantas_Poda_Por_Dia</f>
        <v>0</v>
      </c>
      <c r="AF69" s="5">
        <f>IF(Datos!F70="En_Bloque",0,IF(Datos!F70="Por_Surcos",IF(Datos!G70=1,E69/Plantas_Paliativa_Por_Dia,0),0))</f>
        <v>0</v>
      </c>
      <c r="AG69" s="5">
        <f t="shared" ref="AG69:AG78" si="68">E69/Plantas_Deshije_Por_Dia</f>
        <v>0</v>
      </c>
      <c r="AH69" s="5">
        <f t="shared" ref="AH69:AH78" si="69">X69+AC69+AD69</f>
        <v>0</v>
      </c>
      <c r="AI69" s="5">
        <f t="shared" ref="AI69:AI78" si="70">IFERROR(X69*1600/E69,0)</f>
        <v>0</v>
      </c>
      <c r="AJ69" s="5">
        <f t="shared" ref="AJ69:AJ78" si="71">IFERROR(AC69*1600/F69,0)</f>
        <v>0</v>
      </c>
      <c r="AK69" s="5">
        <f t="shared" ref="AK69:AK78" si="72">IFERROR(AD69*1600/G69,0)</f>
        <v>0</v>
      </c>
      <c r="AL69" s="5">
        <f t="shared" ref="AL69:AL78" si="73">INT(IF(AI69&gt;0,IF(AI69&lt;2,1,IF(AI69&gt;14,7,AI69/2))))</f>
        <v>0</v>
      </c>
      <c r="AM69" s="5">
        <f t="shared" ref="AM69:AM78" si="74">INT(IF(AJ69&gt;0,IF(AJ69&lt;2,1,IF(AJ69&gt;14,7,AJ69/2))))</f>
        <v>0</v>
      </c>
      <c r="AN69" s="5">
        <f t="shared" ref="AN69:AN78" si="75">INT(IF(AK69&gt;0,IF(AK69&lt;2,1,IF(AK69&gt;14,7,AK69/2))))</f>
        <v>0</v>
      </c>
      <c r="AO69" s="5">
        <f t="shared" ref="AO69:AO78" si="76">IFERROR(AI69/AL69,0)</f>
        <v>0</v>
      </c>
      <c r="AP69" s="5">
        <f t="shared" ref="AP69:AP78" si="77">IFERROR(AJ69/AM69,0)</f>
        <v>0</v>
      </c>
      <c r="AQ69" s="5">
        <f t="shared" ref="AQ69:AQ78" si="78">IFERROR(AK69/AN69,0)</f>
        <v>0</v>
      </c>
      <c r="AR69" s="5">
        <f t="shared" si="51"/>
        <v>0</v>
      </c>
      <c r="AS69" s="6">
        <f>'Eficiencias &amp; Configuración'!B$12*Cálculos!C69</f>
        <v>0</v>
      </c>
      <c r="AT69" s="6">
        <f>IFERROR(('Eficiencias &amp; Configuración'!B$15*C69)*'Eficiencias &amp; Configuración'!B$14,0)</f>
        <v>0</v>
      </c>
      <c r="AU69">
        <f>C69*'Eficiencias &amp; Configuración'!B$16</f>
        <v>0</v>
      </c>
      <c r="AV69">
        <f>C69*'Eficiencias &amp; Configuración'!B$19</f>
        <v>0</v>
      </c>
      <c r="AW69">
        <f>(H69*Enfermedades_Crecimiento)*'Eficiencias &amp; Configuración'!B$18</f>
        <v>0</v>
      </c>
      <c r="AX69">
        <f>(I69+J69)*Enfermedades_Producción*'Eficiencias &amp; Configuración'!B$18</f>
        <v>0</v>
      </c>
      <c r="AY69" s="23">
        <f>W69*'Eficiencias &amp; Configuración'!B$24</f>
        <v>0</v>
      </c>
      <c r="AZ69" s="4">
        <f>(W69/5)*'Eficiencias &amp; Configuración'!B$25</f>
        <v>0</v>
      </c>
      <c r="BA69" s="5">
        <f t="shared" ref="BA69:BA78" si="79">AE69+AF69+AG69+AT69+AU69+AW69+AX69+AR69</f>
        <v>0</v>
      </c>
      <c r="BB69" s="4">
        <f t="shared" ref="BB69:BB78" si="80">BA69*Jornal</f>
        <v>0</v>
      </c>
      <c r="BC69" s="4">
        <f t="shared" si="52"/>
        <v>0</v>
      </c>
      <c r="BD69" s="4">
        <f t="shared" ref="BD69:BD78" si="81">BC69+BB69</f>
        <v>0</v>
      </c>
      <c r="BE69" s="5">
        <f t="shared" ref="BE69:BE78" si="82">AZ69+AY69</f>
        <v>0</v>
      </c>
      <c r="BF69" s="5">
        <f t="shared" ref="BF69:BF78" si="83">BE69+BD69</f>
        <v>0</v>
      </c>
      <c r="BG69" s="5" t="e">
        <f t="shared" si="53"/>
        <v>#DIV/0!</v>
      </c>
      <c r="BH69" s="4">
        <f t="shared" si="54"/>
        <v>0</v>
      </c>
      <c r="BI69" s="4" t="e">
        <f t="shared" ref="BI69:BI78" si="84">BH69-(BF69+BG69)</f>
        <v>#DIV/0!</v>
      </c>
    </row>
    <row r="70" spans="1:61" x14ac:dyDescent="0.25">
      <c r="A70" t="str">
        <f>Datos!A71</f>
        <v>Lote 67</v>
      </c>
      <c r="B70" s="6">
        <f>Datos!B71</f>
        <v>0</v>
      </c>
      <c r="C70">
        <f>_xlfn.XLOOKUP(UM,Hoja1!A$2:A$7,Hoja1!B$2:B$7)*B70</f>
        <v>0</v>
      </c>
      <c r="D70" s="9">
        <f>IFERROR((Metros2*Datos!B71/(Datos!D71*Datos!C71)),0)</f>
        <v>0</v>
      </c>
      <c r="E70" s="6">
        <f t="shared" si="55"/>
        <v>0</v>
      </c>
      <c r="F70" s="12">
        <f t="shared" si="56"/>
        <v>0</v>
      </c>
      <c r="G70" s="6">
        <f t="shared" si="57"/>
        <v>0</v>
      </c>
      <c r="H70">
        <f t="shared" si="58"/>
        <v>0</v>
      </c>
      <c r="I70">
        <f t="shared" si="59"/>
        <v>0</v>
      </c>
      <c r="J70">
        <f t="shared" si="60"/>
        <v>0</v>
      </c>
      <c r="K70" s="9">
        <f>IF(Ciclo="_3_años",
IF(Datos!F71="Por_Surcos",
IF(Datos!G71&gt;=1,D70/3,0),
IF(Datos!F71="En_Bloque",
IF(Datos!G71=1,D70,0),
0)),0)</f>
        <v>0</v>
      </c>
      <c r="L70" s="17">
        <f>IF(Ciclo="_3_años",
IF(Datos!F71="Por_Surcos",
IF(Datos!G71&gt;=2,D70/3,0),
IF(Datos!F71="En_Bloque",
IF(Datos!G71=2,D70,0),
0)),0)</f>
        <v>0</v>
      </c>
      <c r="M70" s="9">
        <f>IF(Ciclo="_3_años",
IF(Datos!F71="Por_Surcos",
IF(Datos!G71&gt;=3,D70/3,0),
IF(Datos!F71="En_Bloque",
IF(Datos!G71=3,D70,0),
0)),0)</f>
        <v>0</v>
      </c>
      <c r="N70" s="9">
        <f>IF(Ciclo="_4_años",
IF(Datos!F71="Por_Surcos",
IF(Datos!G71&gt;=1,D70/4,0),
IF(Datos!F71="En_Bloque",
IF(Datos!G71=1,D70,0),
0)),0)</f>
        <v>0</v>
      </c>
      <c r="O70" s="9">
        <f>IF(Ciclo="_4_años",
IF(Datos!F71="Por_Surcos",
IF(Datos!G71&gt;=2,D70/4,0),
IF(Datos!F71="En_Bloque",
IF(Datos!G71=2,D70,0),
0)),0)</f>
        <v>0</v>
      </c>
      <c r="P70" s="9">
        <f>IF(Ciclo="_4_años",
IF(Datos!F71="Por_Surcos",
IF(Datos!G71&gt;=3,D70/4,0),
IF(Datos!F71="En_Bloque",
IF(Datos!G71=3,D70,0),
0)),0)</f>
        <v>0</v>
      </c>
      <c r="Q70" s="9">
        <f>IF(Ciclo="_4_años",
IF(Datos!F71="Por_Surcos",
IF(Datos!G71&gt;=4,D70/4,0),
IF(Datos!F71="En_Bloque",
IF(Datos!G71=4,D70,0),
0)),0)</f>
        <v>0</v>
      </c>
      <c r="R70" s="9">
        <f>IF(Ciclo="_5_años",
IF(Datos!F71="Por_Surcos",
IF(Datos!G71&gt;=1,D70/5,0),
IF(Datos!F71="En_Bloque",
IF(Datos!G71=1,D70,0),
0)),0)</f>
        <v>0</v>
      </c>
      <c r="S70" s="9">
        <f>IF(Ciclo="_5_años",
IF(Datos!F71="Por_Surcos",
IF(Datos!G71&gt;=2,D70/5,0),
IF(Datos!F71="En_Bloque",
IF(Datos!G71=2,D70,0),
0)),0)</f>
        <v>0</v>
      </c>
      <c r="T70" s="9">
        <f>IF(Ciclo="_5_años",
IF(Datos!F71="Por_Surcos",
IF(Datos!G71&gt;=3,D70/5,0),
IF(Datos!F71="En_Bloque",
IF(Datos!G71=3,D70,0),
0)),0)</f>
        <v>0</v>
      </c>
      <c r="U70" s="9">
        <f>IF(Ciclo="_5_años",
IF(Datos!F71="Por_Surcos",
IF(Datos!G71&gt;=4,D70/5,0),
IF(Datos!F71="En_Bloque",
IF(Datos!G71=4,D70,0),
0)),0)</f>
        <v>0</v>
      </c>
      <c r="V70" s="9">
        <f>IF(Ciclo="_5_años",
IF(Datos!F71="Por_Surcos",
IF(Datos!G71&gt;=5,D70/5,0),
IF(Datos!F71="En_Bloque",
IF(Datos!G71=5,D70,0),
0)),0)</f>
        <v>0</v>
      </c>
      <c r="W70" s="9">
        <f>(((L70*4.5)+(M70*12)+(O70*0.5)+(P70*4)+(Q70*8.5)+(S70*0.5)+(T70*4)+(U70*8.5)+(V70*6))*Datos!E71)/100</f>
        <v>0</v>
      </c>
      <c r="X70" s="6">
        <f t="shared" si="61"/>
        <v>0</v>
      </c>
      <c r="Y70" s="9">
        <f t="shared" si="50"/>
        <v>0</v>
      </c>
      <c r="Z70" s="9">
        <f t="shared" si="62"/>
        <v>0</v>
      </c>
      <c r="AA70" s="6">
        <f t="shared" si="63"/>
        <v>0</v>
      </c>
      <c r="AB70" s="9">
        <f t="shared" si="64"/>
        <v>0</v>
      </c>
      <c r="AC70" s="6">
        <f t="shared" si="65"/>
        <v>0</v>
      </c>
      <c r="AD70" s="6">
        <f t="shared" si="66"/>
        <v>0</v>
      </c>
      <c r="AE70" s="5">
        <f t="shared" si="67"/>
        <v>0</v>
      </c>
      <c r="AF70" s="5">
        <f>IF(Datos!F71="En_Bloque",0,IF(Datos!F71="Por_Surcos",IF(Datos!G71=1,E70/Plantas_Paliativa_Por_Dia,0),0))</f>
        <v>0</v>
      </c>
      <c r="AG70" s="5">
        <f t="shared" si="68"/>
        <v>0</v>
      </c>
      <c r="AH70" s="5">
        <f t="shared" si="69"/>
        <v>0</v>
      </c>
      <c r="AI70" s="5">
        <f t="shared" si="70"/>
        <v>0</v>
      </c>
      <c r="AJ70" s="5">
        <f t="shared" si="71"/>
        <v>0</v>
      </c>
      <c r="AK70" s="5">
        <f t="shared" si="72"/>
        <v>0</v>
      </c>
      <c r="AL70" s="5">
        <f t="shared" si="73"/>
        <v>0</v>
      </c>
      <c r="AM70" s="5">
        <f t="shared" si="74"/>
        <v>0</v>
      </c>
      <c r="AN70" s="5">
        <f t="shared" si="75"/>
        <v>0</v>
      </c>
      <c r="AO70" s="5">
        <f t="shared" si="76"/>
        <v>0</v>
      </c>
      <c r="AP70" s="5">
        <f t="shared" si="77"/>
        <v>0</v>
      </c>
      <c r="AQ70" s="5">
        <f t="shared" si="78"/>
        <v>0</v>
      </c>
      <c r="AR70" s="5">
        <f t="shared" si="51"/>
        <v>0</v>
      </c>
      <c r="AS70" s="6">
        <f>'Eficiencias &amp; Configuración'!B$12*Cálculos!C70</f>
        <v>0</v>
      </c>
      <c r="AT70" s="6">
        <f>IFERROR(('Eficiencias &amp; Configuración'!B$15*C70)*'Eficiencias &amp; Configuración'!B$14,0)</f>
        <v>0</v>
      </c>
      <c r="AU70">
        <f>C70*'Eficiencias &amp; Configuración'!B$16</f>
        <v>0</v>
      </c>
      <c r="AV70">
        <f>C70*'Eficiencias &amp; Configuración'!B$19</f>
        <v>0</v>
      </c>
      <c r="AW70">
        <f>(H70*Enfermedades_Crecimiento)*'Eficiencias &amp; Configuración'!B$18</f>
        <v>0</v>
      </c>
      <c r="AX70">
        <f>(I70+J70)*Enfermedades_Producción*'Eficiencias &amp; Configuración'!B$18</f>
        <v>0</v>
      </c>
      <c r="AY70" s="23">
        <f>W70*'Eficiencias &amp; Configuración'!B$24</f>
        <v>0</v>
      </c>
      <c r="AZ70" s="4">
        <f>(W70/5)*'Eficiencias &amp; Configuración'!B$25</f>
        <v>0</v>
      </c>
      <c r="BA70" s="5">
        <f t="shared" si="79"/>
        <v>0</v>
      </c>
      <c r="BB70" s="4">
        <f t="shared" si="80"/>
        <v>0</v>
      </c>
      <c r="BC70" s="4">
        <f t="shared" si="52"/>
        <v>0</v>
      </c>
      <c r="BD70" s="4">
        <f t="shared" si="81"/>
        <v>0</v>
      </c>
      <c r="BE70" s="5">
        <f t="shared" si="82"/>
        <v>0</v>
      </c>
      <c r="BF70" s="5">
        <f t="shared" si="83"/>
        <v>0</v>
      </c>
      <c r="BG70" s="5" t="e">
        <f t="shared" si="53"/>
        <v>#DIV/0!</v>
      </c>
      <c r="BH70" s="4">
        <f t="shared" si="54"/>
        <v>0</v>
      </c>
      <c r="BI70" s="4" t="e">
        <f t="shared" si="84"/>
        <v>#DIV/0!</v>
      </c>
    </row>
    <row r="71" spans="1:61" x14ac:dyDescent="0.25">
      <c r="A71" t="str">
        <f>Datos!A72</f>
        <v>Lote 68</v>
      </c>
      <c r="B71" s="6">
        <f>Datos!B72</f>
        <v>0</v>
      </c>
      <c r="C71">
        <f>_xlfn.XLOOKUP(UM,Hoja1!A$2:A$7,Hoja1!B$2:B$7)*B71</f>
        <v>0</v>
      </c>
      <c r="D71" s="9">
        <f>IFERROR((Metros2*Datos!B72/(Datos!D72*Datos!C72)),0)</f>
        <v>0</v>
      </c>
      <c r="E71" s="6">
        <f t="shared" si="55"/>
        <v>0</v>
      </c>
      <c r="F71" s="12">
        <f t="shared" si="56"/>
        <v>0</v>
      </c>
      <c r="G71" s="6">
        <f t="shared" si="57"/>
        <v>0</v>
      </c>
      <c r="H71">
        <f t="shared" si="58"/>
        <v>0</v>
      </c>
      <c r="I71">
        <f t="shared" si="59"/>
        <v>0</v>
      </c>
      <c r="J71">
        <f t="shared" si="60"/>
        <v>0</v>
      </c>
      <c r="K71" s="9">
        <f>IF(Ciclo="_3_años",
IF(Datos!F72="Por_Surcos",
IF(Datos!G72&gt;=1,D71/3,0),
IF(Datos!F72="En_Bloque",
IF(Datos!G72=1,D71,0),
0)),0)</f>
        <v>0</v>
      </c>
      <c r="L71" s="17">
        <f>IF(Ciclo="_3_años",
IF(Datos!F72="Por_Surcos",
IF(Datos!G72&gt;=2,D71/3,0),
IF(Datos!F72="En_Bloque",
IF(Datos!G72=2,D71,0),
0)),0)</f>
        <v>0</v>
      </c>
      <c r="M71" s="9">
        <f>IF(Ciclo="_3_años",
IF(Datos!F72="Por_Surcos",
IF(Datos!G72&gt;=3,D71/3,0),
IF(Datos!F72="En_Bloque",
IF(Datos!G72=3,D71,0),
0)),0)</f>
        <v>0</v>
      </c>
      <c r="N71" s="9">
        <f>IF(Ciclo="_4_años",
IF(Datos!F72="Por_Surcos",
IF(Datos!G72&gt;=1,D71/4,0),
IF(Datos!F72="En_Bloque",
IF(Datos!G72=1,D71,0),
0)),0)</f>
        <v>0</v>
      </c>
      <c r="O71" s="9">
        <f>IF(Ciclo="_4_años",
IF(Datos!F72="Por_Surcos",
IF(Datos!G72&gt;=2,D71/4,0),
IF(Datos!F72="En_Bloque",
IF(Datos!G72=2,D71,0),
0)),0)</f>
        <v>0</v>
      </c>
      <c r="P71" s="9">
        <f>IF(Ciclo="_4_años",
IF(Datos!F72="Por_Surcos",
IF(Datos!G72&gt;=3,D71/4,0),
IF(Datos!F72="En_Bloque",
IF(Datos!G72=3,D71,0),
0)),0)</f>
        <v>0</v>
      </c>
      <c r="Q71" s="9">
        <f>IF(Ciclo="_4_años",
IF(Datos!F72="Por_Surcos",
IF(Datos!G72&gt;=4,D71/4,0),
IF(Datos!F72="En_Bloque",
IF(Datos!G72=4,D71,0),
0)),0)</f>
        <v>0</v>
      </c>
      <c r="R71" s="9">
        <f>IF(Ciclo="_5_años",
IF(Datos!F72="Por_Surcos",
IF(Datos!G72&gt;=1,D71/5,0),
IF(Datos!F72="En_Bloque",
IF(Datos!G72=1,D71,0),
0)),0)</f>
        <v>0</v>
      </c>
      <c r="S71" s="9">
        <f>IF(Ciclo="_5_años",
IF(Datos!F72="Por_Surcos",
IF(Datos!G72&gt;=2,D71/5,0),
IF(Datos!F72="En_Bloque",
IF(Datos!G72=2,D71,0),
0)),0)</f>
        <v>0</v>
      </c>
      <c r="T71" s="9">
        <f>IF(Ciclo="_5_años",
IF(Datos!F72="Por_Surcos",
IF(Datos!G72&gt;=3,D71/5,0),
IF(Datos!F72="En_Bloque",
IF(Datos!G72=3,D71,0),
0)),0)</f>
        <v>0</v>
      </c>
      <c r="U71" s="9">
        <f>IF(Ciclo="_5_años",
IF(Datos!F72="Por_Surcos",
IF(Datos!G72&gt;=4,D71/5,0),
IF(Datos!F72="En_Bloque",
IF(Datos!G72=4,D71,0),
0)),0)</f>
        <v>0</v>
      </c>
      <c r="V71" s="9">
        <f>IF(Ciclo="_5_años",
IF(Datos!F72="Por_Surcos",
IF(Datos!G72&gt;=5,D71/5,0),
IF(Datos!F72="En_Bloque",
IF(Datos!G72=5,D71,0),
0)),0)</f>
        <v>0</v>
      </c>
      <c r="W71" s="9">
        <f>(((L71*4.5)+(M71*12)+(O71*0.5)+(P71*4)+(Q71*8.5)+(S71*0.5)+(T71*4)+(U71*8.5)+(V71*6))*Datos!E72)/100</f>
        <v>0</v>
      </c>
      <c r="X71" s="6">
        <f t="shared" si="61"/>
        <v>0</v>
      </c>
      <c r="Y71" s="9">
        <f t="shared" si="50"/>
        <v>0</v>
      </c>
      <c r="Z71" s="9">
        <f t="shared" si="62"/>
        <v>0</v>
      </c>
      <c r="AA71" s="6">
        <f t="shared" si="63"/>
        <v>0</v>
      </c>
      <c r="AB71" s="9">
        <f t="shared" si="64"/>
        <v>0</v>
      </c>
      <c r="AC71" s="6">
        <f t="shared" si="65"/>
        <v>0</v>
      </c>
      <c r="AD71" s="6">
        <f t="shared" si="66"/>
        <v>0</v>
      </c>
      <c r="AE71" s="5">
        <f t="shared" si="67"/>
        <v>0</v>
      </c>
      <c r="AF71" s="5">
        <f>IF(Datos!F72="En_Bloque",0,IF(Datos!F72="Por_Surcos",IF(Datos!G72=1,E71/Plantas_Paliativa_Por_Dia,0),0))</f>
        <v>0</v>
      </c>
      <c r="AG71" s="5">
        <f t="shared" si="68"/>
        <v>0</v>
      </c>
      <c r="AH71" s="5">
        <f t="shared" si="69"/>
        <v>0</v>
      </c>
      <c r="AI71" s="5">
        <f t="shared" si="70"/>
        <v>0</v>
      </c>
      <c r="AJ71" s="5">
        <f t="shared" si="71"/>
        <v>0</v>
      </c>
      <c r="AK71" s="5">
        <f t="shared" si="72"/>
        <v>0</v>
      </c>
      <c r="AL71" s="5">
        <f t="shared" si="73"/>
        <v>0</v>
      </c>
      <c r="AM71" s="5">
        <f t="shared" si="74"/>
        <v>0</v>
      </c>
      <c r="AN71" s="5">
        <f t="shared" si="75"/>
        <v>0</v>
      </c>
      <c r="AO71" s="5">
        <f t="shared" si="76"/>
        <v>0</v>
      </c>
      <c r="AP71" s="5">
        <f t="shared" si="77"/>
        <v>0</v>
      </c>
      <c r="AQ71" s="5">
        <f t="shared" si="78"/>
        <v>0</v>
      </c>
      <c r="AR71" s="5">
        <f t="shared" si="51"/>
        <v>0</v>
      </c>
      <c r="AS71" s="6">
        <f>'Eficiencias &amp; Configuración'!B$12*Cálculos!C71</f>
        <v>0</v>
      </c>
      <c r="AT71" s="6">
        <f>IFERROR(('Eficiencias &amp; Configuración'!B$15*C71)*'Eficiencias &amp; Configuración'!B$14,0)</f>
        <v>0</v>
      </c>
      <c r="AU71">
        <f>C71*'Eficiencias &amp; Configuración'!B$16</f>
        <v>0</v>
      </c>
      <c r="AV71">
        <f>C71*'Eficiencias &amp; Configuración'!B$19</f>
        <v>0</v>
      </c>
      <c r="AW71">
        <f>(H71*Enfermedades_Crecimiento)*'Eficiencias &amp; Configuración'!B$18</f>
        <v>0</v>
      </c>
      <c r="AX71">
        <f>(I71+J71)*Enfermedades_Producción*'Eficiencias &amp; Configuración'!B$18</f>
        <v>0</v>
      </c>
      <c r="AY71" s="23">
        <f>W71*'Eficiencias &amp; Configuración'!B$24</f>
        <v>0</v>
      </c>
      <c r="AZ71" s="4">
        <f>(W71/5)*'Eficiencias &amp; Configuración'!B$25</f>
        <v>0</v>
      </c>
      <c r="BA71" s="5">
        <f t="shared" si="79"/>
        <v>0</v>
      </c>
      <c r="BB71" s="4">
        <f t="shared" si="80"/>
        <v>0</v>
      </c>
      <c r="BC71" s="4">
        <f t="shared" si="52"/>
        <v>0</v>
      </c>
      <c r="BD71" s="4">
        <f t="shared" si="81"/>
        <v>0</v>
      </c>
      <c r="BE71" s="5">
        <f t="shared" si="82"/>
        <v>0</v>
      </c>
      <c r="BF71" s="5">
        <f t="shared" si="83"/>
        <v>0</v>
      </c>
      <c r="BG71" s="5" t="e">
        <f t="shared" si="53"/>
        <v>#DIV/0!</v>
      </c>
      <c r="BH71" s="4">
        <f t="shared" si="54"/>
        <v>0</v>
      </c>
      <c r="BI71" s="4" t="e">
        <f t="shared" si="84"/>
        <v>#DIV/0!</v>
      </c>
    </row>
    <row r="72" spans="1:61" x14ac:dyDescent="0.25">
      <c r="A72" t="str">
        <f>Datos!A73</f>
        <v>Lote 69</v>
      </c>
      <c r="B72" s="6">
        <f>Datos!B73</f>
        <v>0</v>
      </c>
      <c r="C72">
        <f>_xlfn.XLOOKUP(UM,Hoja1!A$2:A$7,Hoja1!B$2:B$7)*B72</f>
        <v>0</v>
      </c>
      <c r="D72" s="9">
        <f>IFERROR((Metros2*Datos!B73/(Datos!D73*Datos!C73)),0)</f>
        <v>0</v>
      </c>
      <c r="E72" s="6">
        <f t="shared" si="55"/>
        <v>0</v>
      </c>
      <c r="F72" s="12">
        <f t="shared" si="56"/>
        <v>0</v>
      </c>
      <c r="G72" s="6">
        <f t="shared" si="57"/>
        <v>0</v>
      </c>
      <c r="H72">
        <f t="shared" si="58"/>
        <v>0</v>
      </c>
      <c r="I72">
        <f t="shared" si="59"/>
        <v>0</v>
      </c>
      <c r="J72">
        <f t="shared" si="60"/>
        <v>0</v>
      </c>
      <c r="K72" s="9">
        <f>IF(Ciclo="_3_años",
IF(Datos!F73="Por_Surcos",
IF(Datos!G73&gt;=1,D72/3,0),
IF(Datos!F73="En_Bloque",
IF(Datos!G73=1,D72,0),
0)),0)</f>
        <v>0</v>
      </c>
      <c r="L72" s="17">
        <f>IF(Ciclo="_3_años",
IF(Datos!F73="Por_Surcos",
IF(Datos!G73&gt;=2,D72/3,0),
IF(Datos!F73="En_Bloque",
IF(Datos!G73=2,D72,0),
0)),0)</f>
        <v>0</v>
      </c>
      <c r="M72" s="9">
        <f>IF(Ciclo="_3_años",
IF(Datos!F73="Por_Surcos",
IF(Datos!G73&gt;=3,D72/3,0),
IF(Datos!F73="En_Bloque",
IF(Datos!G73=3,D72,0),
0)),0)</f>
        <v>0</v>
      </c>
      <c r="N72" s="9">
        <f>IF(Ciclo="_4_años",
IF(Datos!F73="Por_Surcos",
IF(Datos!G73&gt;=1,D72/4,0),
IF(Datos!F73="En_Bloque",
IF(Datos!G73=1,D72,0),
0)),0)</f>
        <v>0</v>
      </c>
      <c r="O72" s="9">
        <f>IF(Ciclo="_4_años",
IF(Datos!F73="Por_Surcos",
IF(Datos!G73&gt;=2,D72/4,0),
IF(Datos!F73="En_Bloque",
IF(Datos!G73=2,D72,0),
0)),0)</f>
        <v>0</v>
      </c>
      <c r="P72" s="9">
        <f>IF(Ciclo="_4_años",
IF(Datos!F73="Por_Surcos",
IF(Datos!G73&gt;=3,D72/4,0),
IF(Datos!F73="En_Bloque",
IF(Datos!G73=3,D72,0),
0)),0)</f>
        <v>0</v>
      </c>
      <c r="Q72" s="9">
        <f>IF(Ciclo="_4_años",
IF(Datos!F73="Por_Surcos",
IF(Datos!G73&gt;=4,D72/4,0),
IF(Datos!F73="En_Bloque",
IF(Datos!G73=4,D72,0),
0)),0)</f>
        <v>0</v>
      </c>
      <c r="R72" s="9">
        <f>IF(Ciclo="_5_años",
IF(Datos!F73="Por_Surcos",
IF(Datos!G73&gt;=1,D72/5,0),
IF(Datos!F73="En_Bloque",
IF(Datos!G73=1,D72,0),
0)),0)</f>
        <v>0</v>
      </c>
      <c r="S72" s="9">
        <f>IF(Ciclo="_5_años",
IF(Datos!F73="Por_Surcos",
IF(Datos!G73&gt;=2,D72/5,0),
IF(Datos!F73="En_Bloque",
IF(Datos!G73=2,D72,0),
0)),0)</f>
        <v>0</v>
      </c>
      <c r="T72" s="9">
        <f>IF(Ciclo="_5_años",
IF(Datos!F73="Por_Surcos",
IF(Datos!G73&gt;=3,D72/5,0),
IF(Datos!F73="En_Bloque",
IF(Datos!G73=3,D72,0),
0)),0)</f>
        <v>0</v>
      </c>
      <c r="U72" s="9">
        <f>IF(Ciclo="_5_años",
IF(Datos!F73="Por_Surcos",
IF(Datos!G73&gt;=4,D72/5,0),
IF(Datos!F73="En_Bloque",
IF(Datos!G73=4,D72,0),
0)),0)</f>
        <v>0</v>
      </c>
      <c r="V72" s="9">
        <f>IF(Ciclo="_5_años",
IF(Datos!F73="Por_Surcos",
IF(Datos!G73&gt;=5,D72/5,0),
IF(Datos!F73="En_Bloque",
IF(Datos!G73=5,D72,0),
0)),0)</f>
        <v>0</v>
      </c>
      <c r="W72" s="9">
        <f>(((L72*4.5)+(M72*12)+(O72*0.5)+(P72*4)+(Q72*8.5)+(S72*0.5)+(T72*4)+(U72*8.5)+(V72*6))*Datos!E73)/100</f>
        <v>0</v>
      </c>
      <c r="X72" s="6">
        <f t="shared" si="61"/>
        <v>0</v>
      </c>
      <c r="Y72" s="9">
        <f t="shared" si="50"/>
        <v>0</v>
      </c>
      <c r="Z72" s="9">
        <f t="shared" si="62"/>
        <v>0</v>
      </c>
      <c r="AA72" s="6">
        <f t="shared" si="63"/>
        <v>0</v>
      </c>
      <c r="AB72" s="9">
        <f t="shared" si="64"/>
        <v>0</v>
      </c>
      <c r="AC72" s="6">
        <f t="shared" si="65"/>
        <v>0</v>
      </c>
      <c r="AD72" s="6">
        <f t="shared" si="66"/>
        <v>0</v>
      </c>
      <c r="AE72" s="5">
        <f t="shared" si="67"/>
        <v>0</v>
      </c>
      <c r="AF72" s="5">
        <f>IF(Datos!F73="En_Bloque",0,IF(Datos!F73="Por_Surcos",IF(Datos!G73=1,E72/Plantas_Paliativa_Por_Dia,0),0))</f>
        <v>0</v>
      </c>
      <c r="AG72" s="5">
        <f t="shared" si="68"/>
        <v>0</v>
      </c>
      <c r="AH72" s="5">
        <f t="shared" si="69"/>
        <v>0</v>
      </c>
      <c r="AI72" s="5">
        <f t="shared" si="70"/>
        <v>0</v>
      </c>
      <c r="AJ72" s="5">
        <f t="shared" si="71"/>
        <v>0</v>
      </c>
      <c r="AK72" s="5">
        <f t="shared" si="72"/>
        <v>0</v>
      </c>
      <c r="AL72" s="5">
        <f t="shared" si="73"/>
        <v>0</v>
      </c>
      <c r="AM72" s="5">
        <f t="shared" si="74"/>
        <v>0</v>
      </c>
      <c r="AN72" s="5">
        <f t="shared" si="75"/>
        <v>0</v>
      </c>
      <c r="AO72" s="5">
        <f t="shared" si="76"/>
        <v>0</v>
      </c>
      <c r="AP72" s="5">
        <f t="shared" si="77"/>
        <v>0</v>
      </c>
      <c r="AQ72" s="5">
        <f t="shared" si="78"/>
        <v>0</v>
      </c>
      <c r="AR72" s="5">
        <f t="shared" si="51"/>
        <v>0</v>
      </c>
      <c r="AS72" s="6">
        <f>'Eficiencias &amp; Configuración'!B$12*Cálculos!C72</f>
        <v>0</v>
      </c>
      <c r="AT72" s="6">
        <f>IFERROR(('Eficiencias &amp; Configuración'!B$15*C72)*'Eficiencias &amp; Configuración'!B$14,0)</f>
        <v>0</v>
      </c>
      <c r="AU72">
        <f>C72*'Eficiencias &amp; Configuración'!B$16</f>
        <v>0</v>
      </c>
      <c r="AV72">
        <f>C72*'Eficiencias &amp; Configuración'!B$19</f>
        <v>0</v>
      </c>
      <c r="AW72">
        <f>(H72*Enfermedades_Crecimiento)*'Eficiencias &amp; Configuración'!B$18</f>
        <v>0</v>
      </c>
      <c r="AX72">
        <f>(I72+J72)*Enfermedades_Producción*'Eficiencias &amp; Configuración'!B$18</f>
        <v>0</v>
      </c>
      <c r="AY72" s="23">
        <f>W72*'Eficiencias &amp; Configuración'!B$24</f>
        <v>0</v>
      </c>
      <c r="AZ72" s="4">
        <f>(W72/5)*'Eficiencias &amp; Configuración'!B$25</f>
        <v>0</v>
      </c>
      <c r="BA72" s="5">
        <f t="shared" si="79"/>
        <v>0</v>
      </c>
      <c r="BB72" s="4">
        <f t="shared" si="80"/>
        <v>0</v>
      </c>
      <c r="BC72" s="4">
        <f t="shared" si="52"/>
        <v>0</v>
      </c>
      <c r="BD72" s="4">
        <f t="shared" si="81"/>
        <v>0</v>
      </c>
      <c r="BE72" s="5">
        <f t="shared" si="82"/>
        <v>0</v>
      </c>
      <c r="BF72" s="5">
        <f t="shared" si="83"/>
        <v>0</v>
      </c>
      <c r="BG72" s="5" t="e">
        <f t="shared" si="53"/>
        <v>#DIV/0!</v>
      </c>
      <c r="BH72" s="4">
        <f t="shared" si="54"/>
        <v>0</v>
      </c>
      <c r="BI72" s="4" t="e">
        <f t="shared" si="84"/>
        <v>#DIV/0!</v>
      </c>
    </row>
    <row r="73" spans="1:61" x14ac:dyDescent="0.25">
      <c r="A73" t="str">
        <f>Datos!A74</f>
        <v>Lote 70</v>
      </c>
      <c r="B73" s="6">
        <f>Datos!B74</f>
        <v>0</v>
      </c>
      <c r="C73">
        <f>_xlfn.XLOOKUP(UM,Hoja1!A$2:A$7,Hoja1!B$2:B$7)*B73</f>
        <v>0</v>
      </c>
      <c r="D73" s="9">
        <f>IFERROR((Metros2*Datos!B74/(Datos!D74*Datos!C74)),0)</f>
        <v>0</v>
      </c>
      <c r="E73" s="6">
        <f t="shared" si="55"/>
        <v>0</v>
      </c>
      <c r="F73" s="12">
        <f t="shared" si="56"/>
        <v>0</v>
      </c>
      <c r="G73" s="6">
        <f t="shared" si="57"/>
        <v>0</v>
      </c>
      <c r="H73">
        <f t="shared" si="58"/>
        <v>0</v>
      </c>
      <c r="I73">
        <f t="shared" si="59"/>
        <v>0</v>
      </c>
      <c r="J73">
        <f t="shared" si="60"/>
        <v>0</v>
      </c>
      <c r="K73" s="9">
        <f>IF(Ciclo="_3_años",
IF(Datos!F74="Por_Surcos",
IF(Datos!G74&gt;=1,D73/3,0),
IF(Datos!F74="En_Bloque",
IF(Datos!G74=1,D73,0),
0)),0)</f>
        <v>0</v>
      </c>
      <c r="L73" s="17">
        <f>IF(Ciclo="_3_años",
IF(Datos!F74="Por_Surcos",
IF(Datos!G74&gt;=2,D73/3,0),
IF(Datos!F74="En_Bloque",
IF(Datos!G74=2,D73,0),
0)),0)</f>
        <v>0</v>
      </c>
      <c r="M73" s="9">
        <f>IF(Ciclo="_3_años",
IF(Datos!F74="Por_Surcos",
IF(Datos!G74&gt;=3,D73/3,0),
IF(Datos!F74="En_Bloque",
IF(Datos!G74=3,D73,0),
0)),0)</f>
        <v>0</v>
      </c>
      <c r="N73" s="9">
        <f>IF(Ciclo="_4_años",
IF(Datos!F74="Por_Surcos",
IF(Datos!G74&gt;=1,D73/4,0),
IF(Datos!F74="En_Bloque",
IF(Datos!G74=1,D73,0),
0)),0)</f>
        <v>0</v>
      </c>
      <c r="O73" s="9">
        <f>IF(Ciclo="_4_años",
IF(Datos!F74="Por_Surcos",
IF(Datos!G74&gt;=2,D73/4,0),
IF(Datos!F74="En_Bloque",
IF(Datos!G74=2,D73,0),
0)),0)</f>
        <v>0</v>
      </c>
      <c r="P73" s="9">
        <f>IF(Ciclo="_4_años",
IF(Datos!F74="Por_Surcos",
IF(Datos!G74&gt;=3,D73/4,0),
IF(Datos!F74="En_Bloque",
IF(Datos!G74=3,D73,0),
0)),0)</f>
        <v>0</v>
      </c>
      <c r="Q73" s="9">
        <f>IF(Ciclo="_4_años",
IF(Datos!F74="Por_Surcos",
IF(Datos!G74&gt;=4,D73/4,0),
IF(Datos!F74="En_Bloque",
IF(Datos!G74=4,D73,0),
0)),0)</f>
        <v>0</v>
      </c>
      <c r="R73" s="9">
        <f>IF(Ciclo="_5_años",
IF(Datos!F74="Por_Surcos",
IF(Datos!G74&gt;=1,D73/5,0),
IF(Datos!F74="En_Bloque",
IF(Datos!G74=1,D73,0),
0)),0)</f>
        <v>0</v>
      </c>
      <c r="S73" s="9">
        <f>IF(Ciclo="_5_años",
IF(Datos!F74="Por_Surcos",
IF(Datos!G74&gt;=2,D73/5,0),
IF(Datos!F74="En_Bloque",
IF(Datos!G74=2,D73,0),
0)),0)</f>
        <v>0</v>
      </c>
      <c r="T73" s="9">
        <f>IF(Ciclo="_5_años",
IF(Datos!F74="Por_Surcos",
IF(Datos!G74&gt;=3,D73/5,0),
IF(Datos!F74="En_Bloque",
IF(Datos!G74=3,D73,0),
0)),0)</f>
        <v>0</v>
      </c>
      <c r="U73" s="9">
        <f>IF(Ciclo="_5_años",
IF(Datos!F74="Por_Surcos",
IF(Datos!G74&gt;=4,D73/5,0),
IF(Datos!F74="En_Bloque",
IF(Datos!G74=4,D73,0),
0)),0)</f>
        <v>0</v>
      </c>
      <c r="V73" s="9">
        <f>IF(Ciclo="_5_años",
IF(Datos!F74="Por_Surcos",
IF(Datos!G74&gt;=5,D73/5,0),
IF(Datos!F74="En_Bloque",
IF(Datos!G74=5,D73,0),
0)),0)</f>
        <v>0</v>
      </c>
      <c r="W73" s="9">
        <f>(((L73*4.5)+(M73*12)+(O73*0.5)+(P73*4)+(Q73*8.5)+(S73*0.5)+(T73*4)+(U73*8.5)+(V73*6))*Datos!E74)/100</f>
        <v>0</v>
      </c>
      <c r="X73" s="6">
        <f t="shared" si="61"/>
        <v>0</v>
      </c>
      <c r="Y73" s="9">
        <f t="shared" si="50"/>
        <v>0</v>
      </c>
      <c r="Z73" s="9">
        <f t="shared" si="62"/>
        <v>0</v>
      </c>
      <c r="AA73" s="6">
        <f t="shared" si="63"/>
        <v>0</v>
      </c>
      <c r="AB73" s="9">
        <f t="shared" si="64"/>
        <v>0</v>
      </c>
      <c r="AC73" s="6">
        <f t="shared" si="65"/>
        <v>0</v>
      </c>
      <c r="AD73" s="6">
        <f t="shared" si="66"/>
        <v>0</v>
      </c>
      <c r="AE73" s="5">
        <f t="shared" si="67"/>
        <v>0</v>
      </c>
      <c r="AF73" s="5">
        <f>IF(Datos!F74="En_Bloque",0,IF(Datos!F74="Por_Surcos",IF(Datos!G74=1,E73/Plantas_Paliativa_Por_Dia,0),0))</f>
        <v>0</v>
      </c>
      <c r="AG73" s="5">
        <f t="shared" si="68"/>
        <v>0</v>
      </c>
      <c r="AH73" s="5">
        <f t="shared" si="69"/>
        <v>0</v>
      </c>
      <c r="AI73" s="5">
        <f t="shared" si="70"/>
        <v>0</v>
      </c>
      <c r="AJ73" s="5">
        <f t="shared" si="71"/>
        <v>0</v>
      </c>
      <c r="AK73" s="5">
        <f t="shared" si="72"/>
        <v>0</v>
      </c>
      <c r="AL73" s="5">
        <f t="shared" si="73"/>
        <v>0</v>
      </c>
      <c r="AM73" s="5">
        <f t="shared" si="74"/>
        <v>0</v>
      </c>
      <c r="AN73" s="5">
        <f t="shared" si="75"/>
        <v>0</v>
      </c>
      <c r="AO73" s="5">
        <f t="shared" si="76"/>
        <v>0</v>
      </c>
      <c r="AP73" s="5">
        <f t="shared" si="77"/>
        <v>0</v>
      </c>
      <c r="AQ73" s="5">
        <f t="shared" si="78"/>
        <v>0</v>
      </c>
      <c r="AR73" s="5">
        <f t="shared" si="51"/>
        <v>0</v>
      </c>
      <c r="AS73" s="6">
        <f>'Eficiencias &amp; Configuración'!B$12*Cálculos!C73</f>
        <v>0</v>
      </c>
      <c r="AT73" s="6">
        <f>IFERROR(('Eficiencias &amp; Configuración'!B$15*C73)*'Eficiencias &amp; Configuración'!B$14,0)</f>
        <v>0</v>
      </c>
      <c r="AU73">
        <f>C73*'Eficiencias &amp; Configuración'!B$16</f>
        <v>0</v>
      </c>
      <c r="AV73">
        <f>C73*'Eficiencias &amp; Configuración'!B$19</f>
        <v>0</v>
      </c>
      <c r="AW73">
        <f>(H73*Enfermedades_Crecimiento)*'Eficiencias &amp; Configuración'!B$18</f>
        <v>0</v>
      </c>
      <c r="AX73">
        <f>(I73+J73)*Enfermedades_Producción*'Eficiencias &amp; Configuración'!B$18</f>
        <v>0</v>
      </c>
      <c r="AY73" s="23">
        <f>W73*'Eficiencias &amp; Configuración'!B$24</f>
        <v>0</v>
      </c>
      <c r="AZ73" s="4">
        <f>(W73/5)*'Eficiencias &amp; Configuración'!B$25</f>
        <v>0</v>
      </c>
      <c r="BA73" s="5">
        <f t="shared" si="79"/>
        <v>0</v>
      </c>
      <c r="BB73" s="4">
        <f t="shared" si="80"/>
        <v>0</v>
      </c>
      <c r="BC73" s="4">
        <f t="shared" si="52"/>
        <v>0</v>
      </c>
      <c r="BD73" s="4">
        <f t="shared" si="81"/>
        <v>0</v>
      </c>
      <c r="BE73" s="5">
        <f t="shared" si="82"/>
        <v>0</v>
      </c>
      <c r="BF73" s="5">
        <f t="shared" si="83"/>
        <v>0</v>
      </c>
      <c r="BG73" s="5" t="e">
        <f t="shared" si="53"/>
        <v>#DIV/0!</v>
      </c>
      <c r="BH73" s="4">
        <f t="shared" si="54"/>
        <v>0</v>
      </c>
      <c r="BI73" s="4" t="e">
        <f t="shared" si="84"/>
        <v>#DIV/0!</v>
      </c>
    </row>
    <row r="74" spans="1:61" x14ac:dyDescent="0.25">
      <c r="A74" t="str">
        <f>Datos!A75</f>
        <v>Lote 71</v>
      </c>
      <c r="B74" s="6">
        <f>Datos!B75</f>
        <v>0</v>
      </c>
      <c r="C74">
        <f>_xlfn.XLOOKUP(UM,Hoja1!A$2:A$7,Hoja1!B$2:B$7)*B74</f>
        <v>0</v>
      </c>
      <c r="D74" s="9">
        <f>IFERROR((Metros2*Datos!B75/(Datos!D75*Datos!C75)),0)</f>
        <v>0</v>
      </c>
      <c r="E74" s="6">
        <f t="shared" si="55"/>
        <v>0</v>
      </c>
      <c r="F74" s="12">
        <f t="shared" si="56"/>
        <v>0</v>
      </c>
      <c r="G74" s="6">
        <f t="shared" si="57"/>
        <v>0</v>
      </c>
      <c r="H74">
        <f t="shared" si="58"/>
        <v>0</v>
      </c>
      <c r="I74">
        <f t="shared" si="59"/>
        <v>0</v>
      </c>
      <c r="J74">
        <f t="shared" si="60"/>
        <v>0</v>
      </c>
      <c r="K74" s="9">
        <f>IF(Ciclo="_3_años",
IF(Datos!F75="Por_Surcos",
IF(Datos!G75&gt;=1,D74/3,0),
IF(Datos!F75="En_Bloque",
IF(Datos!G75=1,D74,0),
0)),0)</f>
        <v>0</v>
      </c>
      <c r="L74" s="17">
        <f>IF(Ciclo="_3_años",
IF(Datos!F75="Por_Surcos",
IF(Datos!G75&gt;=2,D74/3,0),
IF(Datos!F75="En_Bloque",
IF(Datos!G75=2,D74,0),
0)),0)</f>
        <v>0</v>
      </c>
      <c r="M74" s="9">
        <f>IF(Ciclo="_3_años",
IF(Datos!F75="Por_Surcos",
IF(Datos!G75&gt;=3,D74/3,0),
IF(Datos!F75="En_Bloque",
IF(Datos!G75=3,D74,0),
0)),0)</f>
        <v>0</v>
      </c>
      <c r="N74" s="9">
        <f>IF(Ciclo="_4_años",
IF(Datos!F75="Por_Surcos",
IF(Datos!G75&gt;=1,D74/4,0),
IF(Datos!F75="En_Bloque",
IF(Datos!G75=1,D74,0),
0)),0)</f>
        <v>0</v>
      </c>
      <c r="O74" s="9">
        <f>IF(Ciclo="_4_años",
IF(Datos!F75="Por_Surcos",
IF(Datos!G75&gt;=2,D74/4,0),
IF(Datos!F75="En_Bloque",
IF(Datos!G75=2,D74,0),
0)),0)</f>
        <v>0</v>
      </c>
      <c r="P74" s="9">
        <f>IF(Ciclo="_4_años",
IF(Datos!F75="Por_Surcos",
IF(Datos!G75&gt;=3,D74/4,0),
IF(Datos!F75="En_Bloque",
IF(Datos!G75=3,D74,0),
0)),0)</f>
        <v>0</v>
      </c>
      <c r="Q74" s="9">
        <f>IF(Ciclo="_4_años",
IF(Datos!F75="Por_Surcos",
IF(Datos!G75&gt;=4,D74/4,0),
IF(Datos!F75="En_Bloque",
IF(Datos!G75=4,D74,0),
0)),0)</f>
        <v>0</v>
      </c>
      <c r="R74" s="9">
        <f>IF(Ciclo="_5_años",
IF(Datos!F75="Por_Surcos",
IF(Datos!G75&gt;=1,D74/5,0),
IF(Datos!F75="En_Bloque",
IF(Datos!G75=1,D74,0),
0)),0)</f>
        <v>0</v>
      </c>
      <c r="S74" s="9">
        <f>IF(Ciclo="_5_años",
IF(Datos!F75="Por_Surcos",
IF(Datos!G75&gt;=2,D74/5,0),
IF(Datos!F75="En_Bloque",
IF(Datos!G75=2,D74,0),
0)),0)</f>
        <v>0</v>
      </c>
      <c r="T74" s="9">
        <f>IF(Ciclo="_5_años",
IF(Datos!F75="Por_Surcos",
IF(Datos!G75&gt;=3,D74/5,0),
IF(Datos!F75="En_Bloque",
IF(Datos!G75=3,D74,0),
0)),0)</f>
        <v>0</v>
      </c>
      <c r="U74" s="9">
        <f>IF(Ciclo="_5_años",
IF(Datos!F75="Por_Surcos",
IF(Datos!G75&gt;=4,D74/5,0),
IF(Datos!F75="En_Bloque",
IF(Datos!G75=4,D74,0),
0)),0)</f>
        <v>0</v>
      </c>
      <c r="V74" s="9">
        <f>IF(Ciclo="_5_años",
IF(Datos!F75="Por_Surcos",
IF(Datos!G75&gt;=5,D74/5,0),
IF(Datos!F75="En_Bloque",
IF(Datos!G75=5,D74,0),
0)),0)</f>
        <v>0</v>
      </c>
      <c r="W74" s="9">
        <f>(((L74*4.5)+(M74*12)+(O74*0.5)+(P74*4)+(Q74*8.5)+(S74*0.5)+(T74*4)+(U74*8.5)+(V74*6))*Datos!E75)/100</f>
        <v>0</v>
      </c>
      <c r="X74" s="6">
        <f t="shared" si="61"/>
        <v>0</v>
      </c>
      <c r="Y74" s="9">
        <f t="shared" si="50"/>
        <v>0</v>
      </c>
      <c r="Z74" s="9">
        <f t="shared" si="62"/>
        <v>0</v>
      </c>
      <c r="AA74" s="6">
        <f t="shared" si="63"/>
        <v>0</v>
      </c>
      <c r="AB74" s="9">
        <f t="shared" si="64"/>
        <v>0</v>
      </c>
      <c r="AC74" s="6">
        <f t="shared" si="65"/>
        <v>0</v>
      </c>
      <c r="AD74" s="6">
        <f t="shared" si="66"/>
        <v>0</v>
      </c>
      <c r="AE74" s="5">
        <f t="shared" si="67"/>
        <v>0</v>
      </c>
      <c r="AF74" s="5">
        <f>IF(Datos!F75="En_Bloque",0,IF(Datos!F75="Por_Surcos",IF(Datos!G75=1,E74/Plantas_Paliativa_Por_Dia,0),0))</f>
        <v>0</v>
      </c>
      <c r="AG74" s="5">
        <f t="shared" si="68"/>
        <v>0</v>
      </c>
      <c r="AH74" s="5">
        <f t="shared" si="69"/>
        <v>0</v>
      </c>
      <c r="AI74" s="5">
        <f t="shared" si="70"/>
        <v>0</v>
      </c>
      <c r="AJ74" s="5">
        <f t="shared" si="71"/>
        <v>0</v>
      </c>
      <c r="AK74" s="5">
        <f t="shared" si="72"/>
        <v>0</v>
      </c>
      <c r="AL74" s="5">
        <f t="shared" si="73"/>
        <v>0</v>
      </c>
      <c r="AM74" s="5">
        <f t="shared" si="74"/>
        <v>0</v>
      </c>
      <c r="AN74" s="5">
        <f t="shared" si="75"/>
        <v>0</v>
      </c>
      <c r="AO74" s="5">
        <f t="shared" si="76"/>
        <v>0</v>
      </c>
      <c r="AP74" s="5">
        <f t="shared" si="77"/>
        <v>0</v>
      </c>
      <c r="AQ74" s="5">
        <f t="shared" si="78"/>
        <v>0</v>
      </c>
      <c r="AR74" s="5">
        <f t="shared" si="51"/>
        <v>0</v>
      </c>
      <c r="AS74" s="6">
        <f>'Eficiencias &amp; Configuración'!B$12*Cálculos!C74</f>
        <v>0</v>
      </c>
      <c r="AT74" s="6">
        <f>IFERROR(('Eficiencias &amp; Configuración'!B$15*C74)*'Eficiencias &amp; Configuración'!B$14,0)</f>
        <v>0</v>
      </c>
      <c r="AU74">
        <f>C74*'Eficiencias &amp; Configuración'!B$16</f>
        <v>0</v>
      </c>
      <c r="AV74">
        <f>C74*'Eficiencias &amp; Configuración'!B$19</f>
        <v>0</v>
      </c>
      <c r="AW74">
        <f>(H74*Enfermedades_Crecimiento)*'Eficiencias &amp; Configuración'!B$18</f>
        <v>0</v>
      </c>
      <c r="AX74">
        <f>(I74+J74)*Enfermedades_Producción*'Eficiencias &amp; Configuración'!B$18</f>
        <v>0</v>
      </c>
      <c r="AY74" s="23">
        <f>W74*'Eficiencias &amp; Configuración'!B$24</f>
        <v>0</v>
      </c>
      <c r="AZ74" s="4">
        <f>(W74/5)*'Eficiencias &amp; Configuración'!B$25</f>
        <v>0</v>
      </c>
      <c r="BA74" s="5">
        <f t="shared" si="79"/>
        <v>0</v>
      </c>
      <c r="BB74" s="4">
        <f t="shared" si="80"/>
        <v>0</v>
      </c>
      <c r="BC74" s="4">
        <f t="shared" si="52"/>
        <v>0</v>
      </c>
      <c r="BD74" s="4">
        <f t="shared" si="81"/>
        <v>0</v>
      </c>
      <c r="BE74" s="5">
        <f t="shared" si="82"/>
        <v>0</v>
      </c>
      <c r="BF74" s="5">
        <f t="shared" si="83"/>
        <v>0</v>
      </c>
      <c r="BG74" s="5" t="e">
        <f t="shared" si="53"/>
        <v>#DIV/0!</v>
      </c>
      <c r="BH74" s="4">
        <f t="shared" si="54"/>
        <v>0</v>
      </c>
      <c r="BI74" s="4" t="e">
        <f t="shared" si="84"/>
        <v>#DIV/0!</v>
      </c>
    </row>
    <row r="75" spans="1:61" x14ac:dyDescent="0.25">
      <c r="A75" t="str">
        <f>Datos!A76</f>
        <v>Lote 72</v>
      </c>
      <c r="B75" s="6">
        <f>Datos!B76</f>
        <v>0</v>
      </c>
      <c r="C75">
        <f>_xlfn.XLOOKUP(UM,Hoja1!A$2:A$7,Hoja1!B$2:B$7)*B75</f>
        <v>0</v>
      </c>
      <c r="D75" s="9">
        <f>IFERROR((Metros2*Datos!B76/(Datos!D76*Datos!C76)),0)</f>
        <v>0</v>
      </c>
      <c r="E75" s="6">
        <f t="shared" si="55"/>
        <v>0</v>
      </c>
      <c r="F75" s="12">
        <f t="shared" si="56"/>
        <v>0</v>
      </c>
      <c r="G75" s="6">
        <f t="shared" si="57"/>
        <v>0</v>
      </c>
      <c r="H75">
        <f t="shared" si="58"/>
        <v>0</v>
      </c>
      <c r="I75">
        <f t="shared" si="59"/>
        <v>0</v>
      </c>
      <c r="J75">
        <f t="shared" si="60"/>
        <v>0</v>
      </c>
      <c r="K75" s="9">
        <f>IF(Ciclo="_3_años",
IF(Datos!F76="Por_Surcos",
IF(Datos!G76&gt;=1,D75/3,0),
IF(Datos!F76="En_Bloque",
IF(Datos!G76=1,D75,0),
0)),0)</f>
        <v>0</v>
      </c>
      <c r="L75" s="17">
        <f>IF(Ciclo="_3_años",
IF(Datos!F76="Por_Surcos",
IF(Datos!G76&gt;=2,D75/3,0),
IF(Datos!F76="En_Bloque",
IF(Datos!G76=2,D75,0),
0)),0)</f>
        <v>0</v>
      </c>
      <c r="M75" s="9">
        <f>IF(Ciclo="_3_años",
IF(Datos!F76="Por_Surcos",
IF(Datos!G76&gt;=3,D75/3,0),
IF(Datos!F76="En_Bloque",
IF(Datos!G76=3,D75,0),
0)),0)</f>
        <v>0</v>
      </c>
      <c r="N75" s="9">
        <f>IF(Ciclo="_4_años",
IF(Datos!F76="Por_Surcos",
IF(Datos!G76&gt;=1,D75/4,0),
IF(Datos!F76="En_Bloque",
IF(Datos!G76=1,D75,0),
0)),0)</f>
        <v>0</v>
      </c>
      <c r="O75" s="9">
        <f>IF(Ciclo="_4_años",
IF(Datos!F76="Por_Surcos",
IF(Datos!G76&gt;=2,D75/4,0),
IF(Datos!F76="En_Bloque",
IF(Datos!G76=2,D75,0),
0)),0)</f>
        <v>0</v>
      </c>
      <c r="P75" s="9">
        <f>IF(Ciclo="_4_años",
IF(Datos!F76="Por_Surcos",
IF(Datos!G76&gt;=3,D75/4,0),
IF(Datos!F76="En_Bloque",
IF(Datos!G76=3,D75,0),
0)),0)</f>
        <v>0</v>
      </c>
      <c r="Q75" s="9">
        <f>IF(Ciclo="_4_años",
IF(Datos!F76="Por_Surcos",
IF(Datos!G76&gt;=4,D75/4,0),
IF(Datos!F76="En_Bloque",
IF(Datos!G76=4,D75,0),
0)),0)</f>
        <v>0</v>
      </c>
      <c r="R75" s="9">
        <f>IF(Ciclo="_5_años",
IF(Datos!F76="Por_Surcos",
IF(Datos!G76&gt;=1,D75/5,0),
IF(Datos!F76="En_Bloque",
IF(Datos!G76=1,D75,0),
0)),0)</f>
        <v>0</v>
      </c>
      <c r="S75" s="9">
        <f>IF(Ciclo="_5_años",
IF(Datos!F76="Por_Surcos",
IF(Datos!G76&gt;=2,D75/5,0),
IF(Datos!F76="En_Bloque",
IF(Datos!G76=2,D75,0),
0)),0)</f>
        <v>0</v>
      </c>
      <c r="T75" s="9">
        <f>IF(Ciclo="_5_años",
IF(Datos!F76="Por_Surcos",
IF(Datos!G76&gt;=3,D75/5,0),
IF(Datos!F76="En_Bloque",
IF(Datos!G76=3,D75,0),
0)),0)</f>
        <v>0</v>
      </c>
      <c r="U75" s="9">
        <f>IF(Ciclo="_5_años",
IF(Datos!F76="Por_Surcos",
IF(Datos!G76&gt;=4,D75/5,0),
IF(Datos!F76="En_Bloque",
IF(Datos!G76=4,D75,0),
0)),0)</f>
        <v>0</v>
      </c>
      <c r="V75" s="9">
        <f>IF(Ciclo="_5_años",
IF(Datos!F76="Por_Surcos",
IF(Datos!G76&gt;=5,D75/5,0),
IF(Datos!F76="En_Bloque",
IF(Datos!G76=5,D75,0),
0)),0)</f>
        <v>0</v>
      </c>
      <c r="W75" s="9">
        <f>(((L75*4.5)+(M75*12)+(O75*0.5)+(P75*4)+(Q75*8.5)+(S75*0.5)+(T75*4)+(U75*8.5)+(V75*6))*Datos!E76)/100</f>
        <v>0</v>
      </c>
      <c r="X75" s="6">
        <f t="shared" si="61"/>
        <v>0</v>
      </c>
      <c r="Y75" s="9">
        <f t="shared" si="50"/>
        <v>0</v>
      </c>
      <c r="Z75" s="9">
        <f t="shared" si="62"/>
        <v>0</v>
      </c>
      <c r="AA75" s="6">
        <f t="shared" si="63"/>
        <v>0</v>
      </c>
      <c r="AB75" s="9">
        <f t="shared" si="64"/>
        <v>0</v>
      </c>
      <c r="AC75" s="6">
        <f t="shared" si="65"/>
        <v>0</v>
      </c>
      <c r="AD75" s="6">
        <f t="shared" si="66"/>
        <v>0</v>
      </c>
      <c r="AE75" s="5">
        <f t="shared" si="67"/>
        <v>0</v>
      </c>
      <c r="AF75" s="5">
        <f>IF(Datos!F76="En_Bloque",0,IF(Datos!F76="Por_Surcos",IF(Datos!G76=1,E75/Plantas_Paliativa_Por_Dia,0),0))</f>
        <v>0</v>
      </c>
      <c r="AG75" s="5">
        <f t="shared" si="68"/>
        <v>0</v>
      </c>
      <c r="AH75" s="5">
        <f t="shared" si="69"/>
        <v>0</v>
      </c>
      <c r="AI75" s="5">
        <f t="shared" si="70"/>
        <v>0</v>
      </c>
      <c r="AJ75" s="5">
        <f t="shared" si="71"/>
        <v>0</v>
      </c>
      <c r="AK75" s="5">
        <f t="shared" si="72"/>
        <v>0</v>
      </c>
      <c r="AL75" s="5">
        <f t="shared" si="73"/>
        <v>0</v>
      </c>
      <c r="AM75" s="5">
        <f t="shared" si="74"/>
        <v>0</v>
      </c>
      <c r="AN75" s="5">
        <f t="shared" si="75"/>
        <v>0</v>
      </c>
      <c r="AO75" s="5">
        <f t="shared" si="76"/>
        <v>0</v>
      </c>
      <c r="AP75" s="5">
        <f t="shared" si="77"/>
        <v>0</v>
      </c>
      <c r="AQ75" s="5">
        <f t="shared" si="78"/>
        <v>0</v>
      </c>
      <c r="AR75" s="5">
        <f t="shared" si="51"/>
        <v>0</v>
      </c>
      <c r="AS75" s="6">
        <f>'Eficiencias &amp; Configuración'!B$12*Cálculos!C75</f>
        <v>0</v>
      </c>
      <c r="AT75" s="6">
        <f>IFERROR(('Eficiencias &amp; Configuración'!B$15*C75)*'Eficiencias &amp; Configuración'!B$14,0)</f>
        <v>0</v>
      </c>
      <c r="AU75">
        <f>C75*'Eficiencias &amp; Configuración'!B$16</f>
        <v>0</v>
      </c>
      <c r="AV75">
        <f>C75*'Eficiencias &amp; Configuración'!B$19</f>
        <v>0</v>
      </c>
      <c r="AW75">
        <f>(H75*Enfermedades_Crecimiento)*'Eficiencias &amp; Configuración'!B$18</f>
        <v>0</v>
      </c>
      <c r="AX75">
        <f>(I75+J75)*Enfermedades_Producción*'Eficiencias &amp; Configuración'!B$18</f>
        <v>0</v>
      </c>
      <c r="AY75" s="23">
        <f>W75*'Eficiencias &amp; Configuración'!B$24</f>
        <v>0</v>
      </c>
      <c r="AZ75" s="4">
        <f>(W75/5)*'Eficiencias &amp; Configuración'!B$25</f>
        <v>0</v>
      </c>
      <c r="BA75" s="5">
        <f t="shared" si="79"/>
        <v>0</v>
      </c>
      <c r="BB75" s="4">
        <f t="shared" si="80"/>
        <v>0</v>
      </c>
      <c r="BC75" s="4">
        <f t="shared" si="52"/>
        <v>0</v>
      </c>
      <c r="BD75" s="4">
        <f t="shared" si="81"/>
        <v>0</v>
      </c>
      <c r="BE75" s="5">
        <f t="shared" si="82"/>
        <v>0</v>
      </c>
      <c r="BF75" s="5">
        <f t="shared" si="83"/>
        <v>0</v>
      </c>
      <c r="BG75" s="5" t="e">
        <f t="shared" si="53"/>
        <v>#DIV/0!</v>
      </c>
      <c r="BH75" s="4">
        <f t="shared" si="54"/>
        <v>0</v>
      </c>
      <c r="BI75" s="4" t="e">
        <f t="shared" si="84"/>
        <v>#DIV/0!</v>
      </c>
    </row>
    <row r="76" spans="1:61" x14ac:dyDescent="0.25">
      <c r="A76" t="str">
        <f>Datos!A77</f>
        <v>Lote 73</v>
      </c>
      <c r="B76" s="6">
        <f>Datos!B77</f>
        <v>0</v>
      </c>
      <c r="C76">
        <f>_xlfn.XLOOKUP(UM,Hoja1!A$2:A$7,Hoja1!B$2:B$7)*B76</f>
        <v>0</v>
      </c>
      <c r="D76" s="9">
        <f>IFERROR((Metros2*Datos!B77/(Datos!D77*Datos!C77)),0)</f>
        <v>0</v>
      </c>
      <c r="E76" s="6">
        <f t="shared" si="55"/>
        <v>0</v>
      </c>
      <c r="F76" s="12">
        <f t="shared" si="56"/>
        <v>0</v>
      </c>
      <c r="G76" s="6">
        <f t="shared" si="57"/>
        <v>0</v>
      </c>
      <c r="H76">
        <f t="shared" si="58"/>
        <v>0</v>
      </c>
      <c r="I76">
        <f t="shared" si="59"/>
        <v>0</v>
      </c>
      <c r="J76">
        <f t="shared" si="60"/>
        <v>0</v>
      </c>
      <c r="K76" s="9">
        <f>IF(Ciclo="_3_años",
IF(Datos!F77="Por_Surcos",
IF(Datos!G77&gt;=1,D76/3,0),
IF(Datos!F77="En_Bloque",
IF(Datos!G77=1,D76,0),
0)),0)</f>
        <v>0</v>
      </c>
      <c r="L76" s="17">
        <f>IF(Ciclo="_3_años",
IF(Datos!F77="Por_Surcos",
IF(Datos!G77&gt;=2,D76/3,0),
IF(Datos!F77="En_Bloque",
IF(Datos!G77=2,D76,0),
0)),0)</f>
        <v>0</v>
      </c>
      <c r="M76" s="9">
        <f>IF(Ciclo="_3_años",
IF(Datos!F77="Por_Surcos",
IF(Datos!G77&gt;=3,D76/3,0),
IF(Datos!F77="En_Bloque",
IF(Datos!G77=3,D76,0),
0)),0)</f>
        <v>0</v>
      </c>
      <c r="N76" s="9">
        <f>IF(Ciclo="_4_años",
IF(Datos!F77="Por_Surcos",
IF(Datos!G77&gt;=1,D76/4,0),
IF(Datos!F77="En_Bloque",
IF(Datos!G77=1,D76,0),
0)),0)</f>
        <v>0</v>
      </c>
      <c r="O76" s="9">
        <f>IF(Ciclo="_4_años",
IF(Datos!F77="Por_Surcos",
IF(Datos!G77&gt;=2,D76/4,0),
IF(Datos!F77="En_Bloque",
IF(Datos!G77=2,D76,0),
0)),0)</f>
        <v>0</v>
      </c>
      <c r="P76" s="9">
        <f>IF(Ciclo="_4_años",
IF(Datos!F77="Por_Surcos",
IF(Datos!G77&gt;=3,D76/4,0),
IF(Datos!F77="En_Bloque",
IF(Datos!G77=3,D76,0),
0)),0)</f>
        <v>0</v>
      </c>
      <c r="Q76" s="9">
        <f>IF(Ciclo="_4_años",
IF(Datos!F77="Por_Surcos",
IF(Datos!G77&gt;=4,D76/4,0),
IF(Datos!F77="En_Bloque",
IF(Datos!G77=4,D76,0),
0)),0)</f>
        <v>0</v>
      </c>
      <c r="R76" s="9">
        <f>IF(Ciclo="_5_años",
IF(Datos!F77="Por_Surcos",
IF(Datos!G77&gt;=1,D76/5,0),
IF(Datos!F77="En_Bloque",
IF(Datos!G77=1,D76,0),
0)),0)</f>
        <v>0</v>
      </c>
      <c r="S76" s="9">
        <f>IF(Ciclo="_5_años",
IF(Datos!F77="Por_Surcos",
IF(Datos!G77&gt;=2,D76/5,0),
IF(Datos!F77="En_Bloque",
IF(Datos!G77=2,D76,0),
0)),0)</f>
        <v>0</v>
      </c>
      <c r="T76" s="9">
        <f>IF(Ciclo="_5_años",
IF(Datos!F77="Por_Surcos",
IF(Datos!G77&gt;=3,D76/5,0),
IF(Datos!F77="En_Bloque",
IF(Datos!G77=3,D76,0),
0)),0)</f>
        <v>0</v>
      </c>
      <c r="U76" s="9">
        <f>IF(Ciclo="_5_años",
IF(Datos!F77="Por_Surcos",
IF(Datos!G77&gt;=4,D76/5,0),
IF(Datos!F77="En_Bloque",
IF(Datos!G77=4,D76,0),
0)),0)</f>
        <v>0</v>
      </c>
      <c r="V76" s="9">
        <f>IF(Ciclo="_5_años",
IF(Datos!F77="Por_Surcos",
IF(Datos!G77&gt;=5,D76/5,0),
IF(Datos!F77="En_Bloque",
IF(Datos!G77=5,D76,0),
0)),0)</f>
        <v>0</v>
      </c>
      <c r="W76" s="9">
        <f>(((L76*4.5)+(M76*12)+(O76*0.5)+(P76*4)+(Q76*8.5)+(S76*0.5)+(T76*4)+(U76*8.5)+(V76*6))*Datos!E77)/100</f>
        <v>0</v>
      </c>
      <c r="X76" s="6">
        <f t="shared" si="61"/>
        <v>0</v>
      </c>
      <c r="Y76" s="9">
        <f t="shared" si="50"/>
        <v>0</v>
      </c>
      <c r="Z76" s="9">
        <f t="shared" si="62"/>
        <v>0</v>
      </c>
      <c r="AA76" s="6">
        <f t="shared" si="63"/>
        <v>0</v>
      </c>
      <c r="AB76" s="9">
        <f t="shared" si="64"/>
        <v>0</v>
      </c>
      <c r="AC76" s="6">
        <f t="shared" si="65"/>
        <v>0</v>
      </c>
      <c r="AD76" s="6">
        <f t="shared" si="66"/>
        <v>0</v>
      </c>
      <c r="AE76" s="5">
        <f t="shared" si="67"/>
        <v>0</v>
      </c>
      <c r="AF76" s="5">
        <f>IF(Datos!F77="En_Bloque",0,IF(Datos!F77="Por_Surcos",IF(Datos!G77=1,E76/Plantas_Paliativa_Por_Dia,0),0))</f>
        <v>0</v>
      </c>
      <c r="AG76" s="5">
        <f t="shared" si="68"/>
        <v>0</v>
      </c>
      <c r="AH76" s="5">
        <f t="shared" si="69"/>
        <v>0</v>
      </c>
      <c r="AI76" s="5">
        <f t="shared" si="70"/>
        <v>0</v>
      </c>
      <c r="AJ76" s="5">
        <f t="shared" si="71"/>
        <v>0</v>
      </c>
      <c r="AK76" s="5">
        <f t="shared" si="72"/>
        <v>0</v>
      </c>
      <c r="AL76" s="5">
        <f t="shared" si="73"/>
        <v>0</v>
      </c>
      <c r="AM76" s="5">
        <f t="shared" si="74"/>
        <v>0</v>
      </c>
      <c r="AN76" s="5">
        <f t="shared" si="75"/>
        <v>0</v>
      </c>
      <c r="AO76" s="5">
        <f t="shared" si="76"/>
        <v>0</v>
      </c>
      <c r="AP76" s="5">
        <f t="shared" si="77"/>
        <v>0</v>
      </c>
      <c r="AQ76" s="5">
        <f t="shared" si="78"/>
        <v>0</v>
      </c>
      <c r="AR76" s="5">
        <f t="shared" si="51"/>
        <v>0</v>
      </c>
      <c r="AS76" s="6">
        <f>'Eficiencias &amp; Configuración'!B$12*Cálculos!C76</f>
        <v>0</v>
      </c>
      <c r="AT76" s="6">
        <f>IFERROR(('Eficiencias &amp; Configuración'!B$15*C76)*'Eficiencias &amp; Configuración'!B$14,0)</f>
        <v>0</v>
      </c>
      <c r="AU76">
        <f>C76*'Eficiencias &amp; Configuración'!B$16</f>
        <v>0</v>
      </c>
      <c r="AV76">
        <f>C76*'Eficiencias &amp; Configuración'!B$19</f>
        <v>0</v>
      </c>
      <c r="AW76">
        <f>(H76*Enfermedades_Crecimiento)*'Eficiencias &amp; Configuración'!B$18</f>
        <v>0</v>
      </c>
      <c r="AX76">
        <f>(I76+J76)*Enfermedades_Producción*'Eficiencias &amp; Configuración'!B$18</f>
        <v>0</v>
      </c>
      <c r="AY76" s="23">
        <f>W76*'Eficiencias &amp; Configuración'!B$24</f>
        <v>0</v>
      </c>
      <c r="AZ76" s="4">
        <f>(W76/5)*'Eficiencias &amp; Configuración'!B$25</f>
        <v>0</v>
      </c>
      <c r="BA76" s="5">
        <f t="shared" si="79"/>
        <v>0</v>
      </c>
      <c r="BB76" s="4">
        <f t="shared" si="80"/>
        <v>0</v>
      </c>
      <c r="BC76" s="4">
        <f t="shared" si="52"/>
        <v>0</v>
      </c>
      <c r="BD76" s="4">
        <f t="shared" si="81"/>
        <v>0</v>
      </c>
      <c r="BE76" s="5">
        <f t="shared" si="82"/>
        <v>0</v>
      </c>
      <c r="BF76" s="5">
        <f t="shared" si="83"/>
        <v>0</v>
      </c>
      <c r="BG76" s="5" t="e">
        <f t="shared" si="53"/>
        <v>#DIV/0!</v>
      </c>
      <c r="BH76" s="4">
        <f t="shared" si="54"/>
        <v>0</v>
      </c>
      <c r="BI76" s="4" t="e">
        <f t="shared" si="84"/>
        <v>#DIV/0!</v>
      </c>
    </row>
    <row r="77" spans="1:61" x14ac:dyDescent="0.25">
      <c r="A77" t="str">
        <f>Datos!A78</f>
        <v>Lote 74</v>
      </c>
      <c r="B77" s="6">
        <f>Datos!B78</f>
        <v>0</v>
      </c>
      <c r="C77">
        <f>_xlfn.XLOOKUP(UM,Hoja1!A$2:A$7,Hoja1!B$2:B$7)*B77</f>
        <v>0</v>
      </c>
      <c r="D77" s="9">
        <f>IFERROR((Metros2*Datos!B78/(Datos!D78*Datos!C78)),0)</f>
        <v>0</v>
      </c>
      <c r="E77" s="6">
        <f t="shared" si="55"/>
        <v>0</v>
      </c>
      <c r="F77" s="12">
        <f t="shared" si="56"/>
        <v>0</v>
      </c>
      <c r="G77" s="6">
        <f t="shared" si="57"/>
        <v>0</v>
      </c>
      <c r="H77">
        <f t="shared" si="58"/>
        <v>0</v>
      </c>
      <c r="I77">
        <f t="shared" si="59"/>
        <v>0</v>
      </c>
      <c r="J77">
        <f t="shared" si="60"/>
        <v>0</v>
      </c>
      <c r="K77" s="9">
        <f>IF(Ciclo="_3_años",
IF(Datos!F78="Por_Surcos",
IF(Datos!G78&gt;=1,D77/3,0),
IF(Datos!F78="En_Bloque",
IF(Datos!G78=1,D77,0),
0)),0)</f>
        <v>0</v>
      </c>
      <c r="L77" s="17">
        <f>IF(Ciclo="_3_años",
IF(Datos!F78="Por_Surcos",
IF(Datos!G78&gt;=2,D77/3,0),
IF(Datos!F78="En_Bloque",
IF(Datos!G78=2,D77,0),
0)),0)</f>
        <v>0</v>
      </c>
      <c r="M77" s="9">
        <f>IF(Ciclo="_3_años",
IF(Datos!F78="Por_Surcos",
IF(Datos!G78&gt;=3,D77/3,0),
IF(Datos!F78="En_Bloque",
IF(Datos!G78=3,D77,0),
0)),0)</f>
        <v>0</v>
      </c>
      <c r="N77" s="9">
        <f>IF(Ciclo="_4_años",
IF(Datos!F78="Por_Surcos",
IF(Datos!G78&gt;=1,D77/4,0),
IF(Datos!F78="En_Bloque",
IF(Datos!G78=1,D77,0),
0)),0)</f>
        <v>0</v>
      </c>
      <c r="O77" s="9">
        <f>IF(Ciclo="_4_años",
IF(Datos!F78="Por_Surcos",
IF(Datos!G78&gt;=2,D77/4,0),
IF(Datos!F78="En_Bloque",
IF(Datos!G78=2,D77,0),
0)),0)</f>
        <v>0</v>
      </c>
      <c r="P77" s="9">
        <f>IF(Ciclo="_4_años",
IF(Datos!F78="Por_Surcos",
IF(Datos!G78&gt;=3,D77/4,0),
IF(Datos!F78="En_Bloque",
IF(Datos!G78=3,D77,0),
0)),0)</f>
        <v>0</v>
      </c>
      <c r="Q77" s="9">
        <f>IF(Ciclo="_4_años",
IF(Datos!F78="Por_Surcos",
IF(Datos!G78&gt;=4,D77/4,0),
IF(Datos!F78="En_Bloque",
IF(Datos!G78=4,D77,0),
0)),0)</f>
        <v>0</v>
      </c>
      <c r="R77" s="9">
        <f>IF(Ciclo="_5_años",
IF(Datos!F78="Por_Surcos",
IF(Datos!G78&gt;=1,D77/5,0),
IF(Datos!F78="En_Bloque",
IF(Datos!G78=1,D77,0),
0)),0)</f>
        <v>0</v>
      </c>
      <c r="S77" s="9">
        <f>IF(Ciclo="_5_años",
IF(Datos!F78="Por_Surcos",
IF(Datos!G78&gt;=2,D77/5,0),
IF(Datos!F78="En_Bloque",
IF(Datos!G78=2,D77,0),
0)),0)</f>
        <v>0</v>
      </c>
      <c r="T77" s="9">
        <f>IF(Ciclo="_5_años",
IF(Datos!F78="Por_Surcos",
IF(Datos!G78&gt;=3,D77/5,0),
IF(Datos!F78="En_Bloque",
IF(Datos!G78=3,D77,0),
0)),0)</f>
        <v>0</v>
      </c>
      <c r="U77" s="9">
        <f>IF(Ciclo="_5_años",
IF(Datos!F78="Por_Surcos",
IF(Datos!G78&gt;=4,D77/5,0),
IF(Datos!F78="En_Bloque",
IF(Datos!G78=4,D77,0),
0)),0)</f>
        <v>0</v>
      </c>
      <c r="V77" s="9">
        <f>IF(Ciclo="_5_años",
IF(Datos!F78="Por_Surcos",
IF(Datos!G78&gt;=5,D77/5,0),
IF(Datos!F78="En_Bloque",
IF(Datos!G78=5,D77,0),
0)),0)</f>
        <v>0</v>
      </c>
      <c r="W77" s="9">
        <f>(((L77*4.5)+(M77*12)+(O77*0.5)+(P77*4)+(Q77*8.5)+(S77*0.5)+(T77*4)+(U77*8.5)+(V77*6))*Datos!E78)/100</f>
        <v>0</v>
      </c>
      <c r="X77" s="6">
        <f t="shared" si="61"/>
        <v>0</v>
      </c>
      <c r="Y77" s="9">
        <f t="shared" si="50"/>
        <v>0</v>
      </c>
      <c r="Z77" s="9">
        <f t="shared" si="62"/>
        <v>0</v>
      </c>
      <c r="AA77" s="6">
        <f t="shared" si="63"/>
        <v>0</v>
      </c>
      <c r="AB77" s="9">
        <f t="shared" si="64"/>
        <v>0</v>
      </c>
      <c r="AC77" s="6">
        <f t="shared" si="65"/>
        <v>0</v>
      </c>
      <c r="AD77" s="6">
        <f t="shared" si="66"/>
        <v>0</v>
      </c>
      <c r="AE77" s="5">
        <f t="shared" si="67"/>
        <v>0</v>
      </c>
      <c r="AF77" s="5">
        <f>IF(Datos!F78="En_Bloque",0,IF(Datos!F78="Por_Surcos",IF(Datos!G78=1,E77/Plantas_Paliativa_Por_Dia,0),0))</f>
        <v>0</v>
      </c>
      <c r="AG77" s="5">
        <f t="shared" si="68"/>
        <v>0</v>
      </c>
      <c r="AH77" s="5">
        <f t="shared" si="69"/>
        <v>0</v>
      </c>
      <c r="AI77" s="5">
        <f t="shared" si="70"/>
        <v>0</v>
      </c>
      <c r="AJ77" s="5">
        <f t="shared" si="71"/>
        <v>0</v>
      </c>
      <c r="AK77" s="5">
        <f t="shared" si="72"/>
        <v>0</v>
      </c>
      <c r="AL77" s="5">
        <f t="shared" si="73"/>
        <v>0</v>
      </c>
      <c r="AM77" s="5">
        <f t="shared" si="74"/>
        <v>0</v>
      </c>
      <c r="AN77" s="5">
        <f t="shared" si="75"/>
        <v>0</v>
      </c>
      <c r="AO77" s="5">
        <f t="shared" si="76"/>
        <v>0</v>
      </c>
      <c r="AP77" s="5">
        <f t="shared" si="77"/>
        <v>0</v>
      </c>
      <c r="AQ77" s="5">
        <f t="shared" si="78"/>
        <v>0</v>
      </c>
      <c r="AR77" s="5">
        <f t="shared" si="51"/>
        <v>0</v>
      </c>
      <c r="AS77" s="6">
        <f>'Eficiencias &amp; Configuración'!B$12*Cálculos!C77</f>
        <v>0</v>
      </c>
      <c r="AT77" s="6">
        <f>IFERROR(('Eficiencias &amp; Configuración'!B$15*C77)*'Eficiencias &amp; Configuración'!B$14,0)</f>
        <v>0</v>
      </c>
      <c r="AU77">
        <f>C77*'Eficiencias &amp; Configuración'!B$16</f>
        <v>0</v>
      </c>
      <c r="AV77">
        <f>C77*'Eficiencias &amp; Configuración'!B$19</f>
        <v>0</v>
      </c>
      <c r="AW77">
        <f>(H77*Enfermedades_Crecimiento)*'Eficiencias &amp; Configuración'!B$18</f>
        <v>0</v>
      </c>
      <c r="AX77">
        <f>(I77+J77)*Enfermedades_Producción*'Eficiencias &amp; Configuración'!B$18</f>
        <v>0</v>
      </c>
      <c r="AY77" s="23">
        <f>W77*'Eficiencias &amp; Configuración'!B$24</f>
        <v>0</v>
      </c>
      <c r="AZ77" s="4">
        <f>(W77/5)*'Eficiencias &amp; Configuración'!B$25</f>
        <v>0</v>
      </c>
      <c r="BA77" s="5">
        <f t="shared" si="79"/>
        <v>0</v>
      </c>
      <c r="BB77" s="4">
        <f t="shared" si="80"/>
        <v>0</v>
      </c>
      <c r="BC77" s="4">
        <f t="shared" si="52"/>
        <v>0</v>
      </c>
      <c r="BD77" s="4">
        <f t="shared" si="81"/>
        <v>0</v>
      </c>
      <c r="BE77" s="5">
        <f t="shared" si="82"/>
        <v>0</v>
      </c>
      <c r="BF77" s="5">
        <f t="shared" si="83"/>
        <v>0</v>
      </c>
      <c r="BG77" s="5" t="e">
        <f t="shared" si="53"/>
        <v>#DIV/0!</v>
      </c>
      <c r="BH77" s="4">
        <f t="shared" si="54"/>
        <v>0</v>
      </c>
      <c r="BI77" s="4" t="e">
        <f t="shared" si="84"/>
        <v>#DIV/0!</v>
      </c>
    </row>
    <row r="78" spans="1:61" x14ac:dyDescent="0.25">
      <c r="A78" t="str">
        <f>Datos!A79</f>
        <v>Lote 75</v>
      </c>
      <c r="B78" s="6">
        <f>Datos!B79</f>
        <v>0</v>
      </c>
      <c r="C78">
        <f>_xlfn.XLOOKUP(UM,Hoja1!A$2:A$7,Hoja1!B$2:B$7)*B78</f>
        <v>0</v>
      </c>
      <c r="D78" s="9">
        <f>IFERROR((Metros2*Datos!B79/(Datos!D79*Datos!C79)),0)</f>
        <v>0</v>
      </c>
      <c r="E78" s="6">
        <f t="shared" si="55"/>
        <v>0</v>
      </c>
      <c r="F78" s="12">
        <f t="shared" si="56"/>
        <v>0</v>
      </c>
      <c r="G78" s="6">
        <f t="shared" si="57"/>
        <v>0</v>
      </c>
      <c r="H78">
        <f t="shared" si="58"/>
        <v>0</v>
      </c>
      <c r="I78">
        <f t="shared" si="59"/>
        <v>0</v>
      </c>
      <c r="J78">
        <f t="shared" si="60"/>
        <v>0</v>
      </c>
      <c r="K78" s="9">
        <f>IF(Ciclo="_3_años",
IF(Datos!F79="Por_Surcos",
IF(Datos!G79&gt;=1,D78/3,0),
IF(Datos!F79="En_Bloque",
IF(Datos!G79=1,D78,0),
0)),0)</f>
        <v>0</v>
      </c>
      <c r="L78" s="17">
        <f>IF(Ciclo="_3_años",
IF(Datos!F79="Por_Surcos",
IF(Datos!G79&gt;=2,D78/3,0),
IF(Datos!F79="En_Bloque",
IF(Datos!G79=2,D78,0),
0)),0)</f>
        <v>0</v>
      </c>
      <c r="M78" s="9">
        <f>IF(Ciclo="_3_años",
IF(Datos!F79="Por_Surcos",
IF(Datos!G79&gt;=3,D78/3,0),
IF(Datos!F79="En_Bloque",
IF(Datos!G79=3,D78,0),
0)),0)</f>
        <v>0</v>
      </c>
      <c r="N78" s="9">
        <f>IF(Ciclo="_4_años",
IF(Datos!F79="Por_Surcos",
IF(Datos!G79&gt;=1,D78/4,0),
IF(Datos!F79="En_Bloque",
IF(Datos!G79=1,D78,0),
0)),0)</f>
        <v>0</v>
      </c>
      <c r="O78" s="9">
        <f>IF(Ciclo="_4_años",
IF(Datos!F79="Por_Surcos",
IF(Datos!G79&gt;=2,D78/4,0),
IF(Datos!F79="En_Bloque",
IF(Datos!G79=2,D78,0),
0)),0)</f>
        <v>0</v>
      </c>
      <c r="P78" s="9">
        <f>IF(Ciclo="_4_años",
IF(Datos!F79="Por_Surcos",
IF(Datos!G79&gt;=3,D78/4,0),
IF(Datos!F79="En_Bloque",
IF(Datos!G79=3,D78,0),
0)),0)</f>
        <v>0</v>
      </c>
      <c r="Q78" s="9">
        <f>IF(Ciclo="_4_años",
IF(Datos!F79="Por_Surcos",
IF(Datos!G79&gt;=4,D78/4,0),
IF(Datos!F79="En_Bloque",
IF(Datos!G79=4,D78,0),
0)),0)</f>
        <v>0</v>
      </c>
      <c r="R78" s="9">
        <f>IF(Ciclo="_5_años",
IF(Datos!F79="Por_Surcos",
IF(Datos!G79&gt;=1,D78/5,0),
IF(Datos!F79="En_Bloque",
IF(Datos!G79=1,D78,0),
0)),0)</f>
        <v>0</v>
      </c>
      <c r="S78" s="9">
        <f>IF(Ciclo="_5_años",
IF(Datos!F79="Por_Surcos",
IF(Datos!G79&gt;=2,D78/5,0),
IF(Datos!F79="En_Bloque",
IF(Datos!G79=2,D78,0),
0)),0)</f>
        <v>0</v>
      </c>
      <c r="T78" s="9">
        <f>IF(Ciclo="_5_años",
IF(Datos!F79="Por_Surcos",
IF(Datos!G79&gt;=3,D78/5,0),
IF(Datos!F79="En_Bloque",
IF(Datos!G79=3,D78,0),
0)),0)</f>
        <v>0</v>
      </c>
      <c r="U78" s="9">
        <f>IF(Ciclo="_5_años",
IF(Datos!F79="Por_Surcos",
IF(Datos!G79&gt;=4,D78/5,0),
IF(Datos!F79="En_Bloque",
IF(Datos!G79=4,D78,0),
0)),0)</f>
        <v>0</v>
      </c>
      <c r="V78" s="9">
        <f>IF(Ciclo="_5_años",
IF(Datos!F79="Por_Surcos",
IF(Datos!G79&gt;=5,D78/5,0),
IF(Datos!F79="En_Bloque",
IF(Datos!G79=5,D78,0),
0)),0)</f>
        <v>0</v>
      </c>
      <c r="W78" s="9">
        <f>(((L78*4.5)+(M78*12)+(O78*0.5)+(P78*4)+(Q78*8.5)+(S78*0.5)+(T78*4)+(U78*8.5)+(V78*6))*Datos!E79)/100</f>
        <v>0</v>
      </c>
      <c r="X78" s="6">
        <f t="shared" si="61"/>
        <v>0</v>
      </c>
      <c r="Y78" s="9">
        <f t="shared" si="50"/>
        <v>0</v>
      </c>
      <c r="Z78" s="9">
        <f t="shared" si="62"/>
        <v>0</v>
      </c>
      <c r="AA78" s="6">
        <f t="shared" si="63"/>
        <v>0</v>
      </c>
      <c r="AB78" s="9">
        <f t="shared" si="64"/>
        <v>0</v>
      </c>
      <c r="AC78" s="6">
        <f t="shared" si="65"/>
        <v>0</v>
      </c>
      <c r="AD78" s="6">
        <f t="shared" si="66"/>
        <v>0</v>
      </c>
      <c r="AE78" s="5">
        <f t="shared" si="67"/>
        <v>0</v>
      </c>
      <c r="AF78" s="5">
        <f>IF(Datos!F79="En_Bloque",0,IF(Datos!F79="Por_Surcos",IF(Datos!G79=1,E78/Plantas_Paliativa_Por_Dia,0),0))</f>
        <v>0</v>
      </c>
      <c r="AG78" s="5">
        <f t="shared" si="68"/>
        <v>0</v>
      </c>
      <c r="AH78" s="5">
        <f t="shared" si="69"/>
        <v>0</v>
      </c>
      <c r="AI78" s="5">
        <f t="shared" si="70"/>
        <v>0</v>
      </c>
      <c r="AJ78" s="5">
        <f t="shared" si="71"/>
        <v>0</v>
      </c>
      <c r="AK78" s="5">
        <f t="shared" si="72"/>
        <v>0</v>
      </c>
      <c r="AL78" s="5">
        <f t="shared" si="73"/>
        <v>0</v>
      </c>
      <c r="AM78" s="5">
        <f t="shared" si="74"/>
        <v>0</v>
      </c>
      <c r="AN78" s="5">
        <f t="shared" si="75"/>
        <v>0</v>
      </c>
      <c r="AO78" s="5">
        <f t="shared" si="76"/>
        <v>0</v>
      </c>
      <c r="AP78" s="5">
        <f t="shared" si="77"/>
        <v>0</v>
      </c>
      <c r="AQ78" s="5">
        <f t="shared" si="78"/>
        <v>0</v>
      </c>
      <c r="AR78" s="5">
        <f t="shared" si="51"/>
        <v>0</v>
      </c>
      <c r="AS78" s="6">
        <f>'Eficiencias &amp; Configuración'!B$12*Cálculos!C78</f>
        <v>0</v>
      </c>
      <c r="AT78" s="6">
        <f>IFERROR(('Eficiencias &amp; Configuración'!B$15*C78)*'Eficiencias &amp; Configuración'!B$14,0)</f>
        <v>0</v>
      </c>
      <c r="AU78">
        <f>C78*'Eficiencias &amp; Configuración'!B$16</f>
        <v>0</v>
      </c>
      <c r="AV78">
        <f>C78*'Eficiencias &amp; Configuración'!B$19</f>
        <v>0</v>
      </c>
      <c r="AW78">
        <f>(H78*Enfermedades_Crecimiento)*'Eficiencias &amp; Configuración'!B$18</f>
        <v>0</v>
      </c>
      <c r="AX78">
        <f>(I78+J78)*Enfermedades_Producción*'Eficiencias &amp; Configuración'!B$18</f>
        <v>0</v>
      </c>
      <c r="AY78" s="23">
        <f>W78*'Eficiencias &amp; Configuración'!B$24</f>
        <v>0</v>
      </c>
      <c r="AZ78" s="4">
        <f>(W78/5)*'Eficiencias &amp; Configuración'!B$25</f>
        <v>0</v>
      </c>
      <c r="BA78" s="5">
        <f t="shared" si="79"/>
        <v>0</v>
      </c>
      <c r="BB78" s="4">
        <f t="shared" si="80"/>
        <v>0</v>
      </c>
      <c r="BC78" s="4">
        <f t="shared" si="52"/>
        <v>0</v>
      </c>
      <c r="BD78" s="4">
        <f t="shared" si="81"/>
        <v>0</v>
      </c>
      <c r="BE78" s="5">
        <f t="shared" si="82"/>
        <v>0</v>
      </c>
      <c r="BF78" s="5">
        <f t="shared" si="83"/>
        <v>0</v>
      </c>
      <c r="BG78" s="5" t="e">
        <f t="shared" si="53"/>
        <v>#DIV/0!</v>
      </c>
      <c r="BH78" s="4">
        <f t="shared" si="54"/>
        <v>0</v>
      </c>
      <c r="BI78" s="4" t="e">
        <f t="shared" si="84"/>
        <v>#DIV/0!</v>
      </c>
    </row>
    <row r="79" spans="1:61" x14ac:dyDescent="0.25">
      <c r="B79" s="6"/>
      <c r="D79" s="9"/>
      <c r="E79" s="6"/>
      <c r="F79" s="12"/>
      <c r="G79" s="6"/>
      <c r="K79" s="9"/>
      <c r="L79" s="17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6"/>
      <c r="Y79" s="9"/>
      <c r="Z79" s="9"/>
      <c r="AA79" s="6"/>
      <c r="AB79" s="9"/>
      <c r="AC79" s="6"/>
      <c r="AD79" s="6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6"/>
      <c r="AT79" s="6"/>
      <c r="AY79" s="23"/>
      <c r="AZ79" s="4"/>
      <c r="BA79" s="5"/>
      <c r="BB79" s="4"/>
      <c r="BC79" s="4"/>
      <c r="BD79" s="4"/>
      <c r="BE79" s="5"/>
      <c r="BF79" s="5"/>
      <c r="BG79" s="5"/>
      <c r="BH79" s="4"/>
      <c r="BI79" s="4"/>
    </row>
    <row r="80" spans="1:61" x14ac:dyDescent="0.25">
      <c r="B80" s="6"/>
      <c r="D80" s="9"/>
      <c r="E80" s="6"/>
      <c r="F80" s="12"/>
      <c r="G80" s="6"/>
      <c r="K80" s="9"/>
      <c r="L80" s="17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6"/>
      <c r="Y80" s="9"/>
      <c r="Z80" s="9"/>
      <c r="AA80" s="6"/>
      <c r="AB80" s="9"/>
      <c r="AC80" s="6"/>
      <c r="AD80" s="6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6"/>
      <c r="AT80" s="6"/>
      <c r="AY80" s="23"/>
      <c r="AZ80" s="4"/>
      <c r="BA80" s="5"/>
      <c r="BB80" s="4"/>
      <c r="BC80" s="4"/>
      <c r="BD80" s="4"/>
      <c r="BE80" s="5"/>
      <c r="BF80" s="5"/>
      <c r="BG80" s="5"/>
      <c r="BH80" s="4"/>
      <c r="BI80" s="4"/>
    </row>
    <row r="81" spans="2:61" x14ac:dyDescent="0.25">
      <c r="B81" s="6"/>
      <c r="D81" s="9"/>
      <c r="E81" s="6"/>
      <c r="F81" s="12"/>
      <c r="G81" s="6"/>
      <c r="K81" s="9"/>
      <c r="L81" s="17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6"/>
      <c r="Y81" s="9"/>
      <c r="Z81" s="9"/>
      <c r="AA81" s="6"/>
      <c r="AB81" s="9"/>
      <c r="AC81" s="6"/>
      <c r="AD81" s="6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6"/>
      <c r="AT81" s="6"/>
      <c r="AY81" s="23"/>
      <c r="AZ81" s="4"/>
      <c r="BA81" s="5"/>
      <c r="BB81" s="4"/>
      <c r="BC81" s="4"/>
      <c r="BD81" s="4"/>
      <c r="BE81" s="5"/>
      <c r="BF81" s="5"/>
      <c r="BG81" s="5"/>
      <c r="BH81" s="4"/>
      <c r="BI81" s="4"/>
    </row>
    <row r="82" spans="2:61" x14ac:dyDescent="0.25">
      <c r="B82" s="6"/>
      <c r="D82" s="9"/>
      <c r="E82" s="6"/>
      <c r="F82" s="12"/>
      <c r="G82" s="6"/>
      <c r="K82" s="9"/>
      <c r="L82" s="17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6"/>
      <c r="Y82" s="9"/>
      <c r="Z82" s="9"/>
      <c r="AA82" s="6"/>
      <c r="AB82" s="9"/>
      <c r="AC82" s="6"/>
      <c r="AD82" s="6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6"/>
      <c r="AT82" s="6"/>
      <c r="AY82" s="23"/>
      <c r="AZ82" s="4"/>
      <c r="BA82" s="5"/>
      <c r="BB82" s="4"/>
      <c r="BC82" s="4"/>
      <c r="BD82" s="4"/>
      <c r="BE82" s="5"/>
      <c r="BF82" s="5"/>
      <c r="BG82" s="5"/>
      <c r="BH82" s="4"/>
      <c r="BI82" s="4"/>
    </row>
    <row r="83" spans="2:61" x14ac:dyDescent="0.25">
      <c r="B83" s="6"/>
      <c r="D83" s="9"/>
      <c r="E83" s="6"/>
      <c r="F83" s="12"/>
      <c r="G83" s="6"/>
      <c r="K83" s="9"/>
      <c r="L83" s="17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6"/>
      <c r="Y83" s="9"/>
      <c r="Z83" s="9"/>
      <c r="AA83" s="6"/>
      <c r="AB83" s="9"/>
      <c r="AC83" s="6"/>
      <c r="AD83" s="6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6"/>
      <c r="AT83" s="6"/>
      <c r="AY83" s="23"/>
      <c r="AZ83" s="4"/>
      <c r="BA83" s="5"/>
      <c r="BB83" s="4"/>
      <c r="BC83" s="4"/>
      <c r="BD83" s="4"/>
      <c r="BE83" s="5"/>
      <c r="BF83" s="5"/>
      <c r="BG83" s="5"/>
      <c r="BH83" s="4"/>
      <c r="BI83" s="4"/>
    </row>
    <row r="84" spans="2:61" x14ac:dyDescent="0.25">
      <c r="B84" s="6"/>
      <c r="D84" s="9"/>
      <c r="E84" s="6"/>
      <c r="F84" s="12"/>
      <c r="G84" s="6"/>
      <c r="K84" s="9"/>
      <c r="L84" s="17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6"/>
      <c r="Y84" s="9"/>
      <c r="Z84" s="9"/>
      <c r="AA84" s="6"/>
      <c r="AB84" s="9"/>
      <c r="AC84" s="6"/>
      <c r="AD84" s="6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6"/>
      <c r="AT84" s="6"/>
      <c r="AY84" s="23"/>
      <c r="AZ84" s="4"/>
      <c r="BA84" s="5"/>
      <c r="BB84" s="4"/>
      <c r="BC84" s="4"/>
      <c r="BD84" s="4"/>
      <c r="BE84" s="5"/>
      <c r="BF84" s="5"/>
      <c r="BG84" s="5"/>
      <c r="BH84" s="4"/>
      <c r="BI84" s="4"/>
    </row>
    <row r="85" spans="2:61" x14ac:dyDescent="0.25">
      <c r="B85" s="6"/>
      <c r="D85" s="9"/>
      <c r="E85" s="6"/>
      <c r="F85" s="12"/>
      <c r="G85" s="6"/>
      <c r="K85" s="9"/>
      <c r="L85" s="17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6"/>
      <c r="Y85" s="9"/>
      <c r="Z85" s="9"/>
      <c r="AA85" s="6"/>
      <c r="AB85" s="9"/>
      <c r="AC85" s="6"/>
      <c r="AD85" s="6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6"/>
      <c r="AT85" s="6"/>
      <c r="AY85" s="23"/>
      <c r="AZ85" s="4"/>
      <c r="BA85" s="5"/>
      <c r="BB85" s="4"/>
      <c r="BC85" s="4"/>
      <c r="BD85" s="4"/>
      <c r="BE85" s="5"/>
      <c r="BF85" s="5"/>
      <c r="BG85" s="5"/>
      <c r="BH85" s="4"/>
      <c r="BI85" s="4"/>
    </row>
    <row r="86" spans="2:61" x14ac:dyDescent="0.25">
      <c r="B86" s="6"/>
      <c r="D86" s="9"/>
      <c r="E86" s="6"/>
      <c r="F86" s="12"/>
      <c r="G86" s="6"/>
      <c r="K86" s="9"/>
      <c r="L86" s="17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6"/>
      <c r="Y86" s="9"/>
      <c r="Z86" s="9"/>
      <c r="AA86" s="6"/>
      <c r="AB86" s="9"/>
      <c r="AC86" s="6"/>
      <c r="AD86" s="6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6"/>
      <c r="AT86" s="6"/>
      <c r="AY86" s="23"/>
      <c r="AZ86" s="4"/>
      <c r="BA86" s="5"/>
      <c r="BB86" s="4"/>
      <c r="BC86" s="4"/>
      <c r="BD86" s="4"/>
      <c r="BE86" s="5"/>
      <c r="BF86" s="5"/>
      <c r="BG86" s="5"/>
      <c r="BH86" s="4"/>
      <c r="BI86" s="4"/>
    </row>
    <row r="87" spans="2:61" x14ac:dyDescent="0.25">
      <c r="B87" s="6"/>
      <c r="D87" s="9"/>
      <c r="E87" s="6"/>
      <c r="F87" s="12"/>
      <c r="G87" s="6"/>
      <c r="K87" s="9"/>
      <c r="L87" s="17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6"/>
      <c r="Y87" s="9"/>
      <c r="Z87" s="9"/>
      <c r="AA87" s="6"/>
      <c r="AB87" s="9"/>
      <c r="AC87" s="6"/>
      <c r="AD87" s="6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6"/>
      <c r="AT87" s="6"/>
      <c r="AY87" s="23"/>
      <c r="AZ87" s="4"/>
      <c r="BA87" s="5"/>
      <c r="BB87" s="4"/>
      <c r="BC87" s="4"/>
      <c r="BD87" s="4"/>
      <c r="BE87" s="5"/>
      <c r="BF87" s="5"/>
      <c r="BG87" s="5"/>
      <c r="BH87" s="4"/>
      <c r="BI87" s="4"/>
    </row>
    <row r="88" spans="2:61" x14ac:dyDescent="0.25">
      <c r="B88" s="6"/>
      <c r="D88" s="9"/>
      <c r="E88" s="6"/>
      <c r="F88" s="12"/>
      <c r="G88" s="6"/>
      <c r="K88" s="9"/>
      <c r="L88" s="17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6"/>
      <c r="Y88" s="9"/>
      <c r="Z88" s="9"/>
      <c r="AA88" s="6"/>
      <c r="AB88" s="9"/>
      <c r="AC88" s="6"/>
      <c r="AD88" s="6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6"/>
      <c r="AT88" s="6"/>
      <c r="AY88" s="23"/>
      <c r="AZ88" s="4"/>
      <c r="BA88" s="5"/>
      <c r="BB88" s="4"/>
      <c r="BC88" s="4"/>
      <c r="BD88" s="4"/>
      <c r="BE88" s="5"/>
      <c r="BF88" s="5"/>
      <c r="BG88" s="5"/>
      <c r="BH88" s="4"/>
      <c r="BI88" s="4"/>
    </row>
    <row r="89" spans="2:61" x14ac:dyDescent="0.25">
      <c r="B89" s="6"/>
      <c r="D89" s="9"/>
      <c r="E89" s="6"/>
      <c r="F89" s="12"/>
      <c r="G89" s="6"/>
      <c r="K89" s="9"/>
      <c r="L89" s="17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6"/>
      <c r="Y89" s="9"/>
      <c r="Z89" s="9"/>
      <c r="AA89" s="6"/>
      <c r="AB89" s="9"/>
      <c r="AC89" s="6"/>
      <c r="AD89" s="6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6"/>
      <c r="AT89" s="6"/>
      <c r="AY89" s="23"/>
      <c r="AZ89" s="4"/>
      <c r="BA89" s="5"/>
      <c r="BB89" s="4"/>
      <c r="BC89" s="4"/>
      <c r="BD89" s="4"/>
      <c r="BE89" s="5"/>
      <c r="BF89" s="5"/>
      <c r="BG89" s="5"/>
      <c r="BH89" s="4"/>
      <c r="BI89" s="4"/>
    </row>
    <row r="90" spans="2:61" x14ac:dyDescent="0.25">
      <c r="B90" s="6"/>
      <c r="D90" s="9"/>
      <c r="E90" s="6"/>
      <c r="F90" s="12"/>
      <c r="G90" s="6"/>
      <c r="K90" s="9"/>
      <c r="L90" s="17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6"/>
      <c r="Y90" s="9"/>
      <c r="Z90" s="9"/>
      <c r="AA90" s="6"/>
      <c r="AB90" s="9"/>
      <c r="AC90" s="6"/>
      <c r="AD90" s="6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6"/>
      <c r="AT90" s="6"/>
      <c r="AY90" s="23"/>
      <c r="AZ90" s="4"/>
      <c r="BA90" s="5"/>
      <c r="BB90" s="4"/>
      <c r="BC90" s="4"/>
      <c r="BD90" s="4"/>
      <c r="BE90" s="5"/>
      <c r="BF90" s="5"/>
      <c r="BG90" s="5"/>
      <c r="BH90" s="4"/>
      <c r="BI90" s="4"/>
    </row>
    <row r="91" spans="2:61" x14ac:dyDescent="0.25">
      <c r="B91" s="6"/>
      <c r="D91" s="9"/>
      <c r="E91" s="6"/>
      <c r="F91" s="12"/>
      <c r="G91" s="6"/>
      <c r="K91" s="9"/>
      <c r="L91" s="17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6"/>
      <c r="Y91" s="9"/>
      <c r="Z91" s="9"/>
      <c r="AA91" s="6"/>
      <c r="AB91" s="9"/>
      <c r="AC91" s="6"/>
      <c r="AD91" s="6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6"/>
      <c r="AT91" s="6"/>
      <c r="AY91" s="23"/>
      <c r="AZ91" s="4"/>
      <c r="BA91" s="5"/>
      <c r="BB91" s="4"/>
      <c r="BC91" s="4"/>
      <c r="BD91" s="4"/>
      <c r="BE91" s="5"/>
      <c r="BF91" s="5"/>
      <c r="BG91" s="5"/>
      <c r="BH91" s="4"/>
      <c r="BI91" s="4"/>
    </row>
    <row r="92" spans="2:61" x14ac:dyDescent="0.25">
      <c r="B92" s="6"/>
      <c r="D92" s="9"/>
      <c r="E92" s="6"/>
      <c r="F92" s="12"/>
      <c r="G92" s="6"/>
      <c r="K92" s="9"/>
      <c r="L92" s="17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6"/>
      <c r="Y92" s="9"/>
      <c r="Z92" s="9"/>
      <c r="AA92" s="6"/>
      <c r="AB92" s="9"/>
      <c r="AC92" s="6"/>
      <c r="AD92" s="6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6"/>
      <c r="AT92" s="6"/>
      <c r="AY92" s="23"/>
      <c r="AZ92" s="4"/>
      <c r="BA92" s="5"/>
      <c r="BB92" s="4"/>
      <c r="BC92" s="4"/>
      <c r="BD92" s="4"/>
      <c r="BE92" s="5"/>
      <c r="BF92" s="5"/>
      <c r="BG92" s="5"/>
      <c r="BH92" s="4"/>
      <c r="BI92" s="4"/>
    </row>
    <row r="93" spans="2:61" x14ac:dyDescent="0.25">
      <c r="B93" s="6"/>
      <c r="D93" s="9"/>
      <c r="E93" s="6"/>
      <c r="F93" s="12"/>
      <c r="G93" s="6"/>
      <c r="K93" s="9"/>
      <c r="L93" s="17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6"/>
      <c r="Y93" s="9"/>
      <c r="Z93" s="9"/>
      <c r="AA93" s="6"/>
      <c r="AB93" s="9"/>
      <c r="AC93" s="6"/>
      <c r="AD93" s="6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6"/>
      <c r="AT93" s="6"/>
      <c r="AY93" s="23"/>
      <c r="AZ93" s="4"/>
      <c r="BA93" s="5"/>
      <c r="BB93" s="4"/>
      <c r="BC93" s="4"/>
      <c r="BD93" s="4"/>
      <c r="BE93" s="5"/>
      <c r="BF93" s="5"/>
      <c r="BG93" s="5"/>
      <c r="BH93" s="4"/>
      <c r="BI93" s="4"/>
    </row>
    <row r="94" spans="2:61" x14ac:dyDescent="0.25">
      <c r="B94" s="6"/>
      <c r="D94" s="9"/>
      <c r="E94" s="6"/>
      <c r="F94" s="12"/>
      <c r="G94" s="6"/>
      <c r="K94" s="9"/>
      <c r="L94" s="17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6"/>
      <c r="Y94" s="9"/>
      <c r="Z94" s="9"/>
      <c r="AA94" s="6"/>
      <c r="AB94" s="9"/>
      <c r="AC94" s="6"/>
      <c r="AD94" s="6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6"/>
      <c r="AT94" s="6"/>
      <c r="AY94" s="23"/>
      <c r="AZ94" s="4"/>
      <c r="BA94" s="5"/>
      <c r="BB94" s="4"/>
      <c r="BC94" s="4"/>
      <c r="BD94" s="4"/>
      <c r="BE94" s="5"/>
      <c r="BF94" s="5"/>
      <c r="BG94" s="5"/>
      <c r="BH94" s="4"/>
      <c r="BI94" s="4"/>
    </row>
    <row r="95" spans="2:61" x14ac:dyDescent="0.25">
      <c r="B95" s="6"/>
      <c r="D95" s="9"/>
      <c r="E95" s="6"/>
      <c r="F95" s="12"/>
      <c r="G95" s="6"/>
      <c r="K95" s="9"/>
      <c r="L95" s="17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6"/>
      <c r="Y95" s="9"/>
      <c r="Z95" s="9"/>
      <c r="AA95" s="6"/>
      <c r="AB95" s="9"/>
      <c r="AC95" s="6"/>
      <c r="AD95" s="6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6"/>
      <c r="AT95" s="6"/>
      <c r="AY95" s="23"/>
      <c r="AZ95" s="4"/>
      <c r="BA95" s="5"/>
      <c r="BB95" s="4"/>
      <c r="BC95" s="4"/>
      <c r="BD95" s="4"/>
      <c r="BE95" s="5"/>
      <c r="BF95" s="5"/>
      <c r="BG95" s="5"/>
      <c r="BH95" s="4"/>
      <c r="BI95" s="4"/>
    </row>
    <row r="96" spans="2:61" x14ac:dyDescent="0.25">
      <c r="B96" s="6"/>
      <c r="D96" s="9"/>
      <c r="E96" s="6"/>
      <c r="F96" s="12"/>
      <c r="G96" s="6"/>
      <c r="K96" s="9"/>
      <c r="L96" s="17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6"/>
      <c r="Y96" s="9"/>
      <c r="Z96" s="9"/>
      <c r="AA96" s="6"/>
      <c r="AB96" s="9"/>
      <c r="AC96" s="6"/>
      <c r="AD96" s="6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6"/>
      <c r="AT96" s="6"/>
      <c r="AY96" s="23"/>
      <c r="AZ96" s="4"/>
      <c r="BA96" s="5"/>
      <c r="BB96" s="4"/>
      <c r="BC96" s="4"/>
      <c r="BD96" s="4"/>
      <c r="BE96" s="5"/>
      <c r="BF96" s="5"/>
      <c r="BG96" s="5"/>
      <c r="BH96" s="4"/>
      <c r="BI96" s="4"/>
    </row>
    <row r="97" spans="2:61" x14ac:dyDescent="0.25">
      <c r="B97" s="6"/>
      <c r="D97" s="9"/>
      <c r="E97" s="6"/>
      <c r="F97" s="12"/>
      <c r="G97" s="6"/>
      <c r="K97" s="9"/>
      <c r="L97" s="17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6"/>
      <c r="Y97" s="9"/>
      <c r="Z97" s="9"/>
      <c r="AA97" s="6"/>
      <c r="AB97" s="9"/>
      <c r="AC97" s="6"/>
      <c r="AD97" s="6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6"/>
      <c r="AT97" s="6"/>
      <c r="AY97" s="23"/>
      <c r="AZ97" s="4"/>
      <c r="BA97" s="5"/>
      <c r="BB97" s="4"/>
      <c r="BC97" s="4"/>
      <c r="BD97" s="4"/>
      <c r="BE97" s="5"/>
      <c r="BF97" s="5"/>
      <c r="BG97" s="5"/>
      <c r="BH97" s="4"/>
      <c r="BI97" s="4"/>
    </row>
    <row r="98" spans="2:61" x14ac:dyDescent="0.25">
      <c r="B98" s="6"/>
      <c r="D98" s="9"/>
      <c r="E98" s="6"/>
      <c r="F98" s="12"/>
      <c r="G98" s="6"/>
      <c r="K98" s="9"/>
      <c r="L98" s="17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6"/>
      <c r="Y98" s="9"/>
      <c r="Z98" s="9"/>
      <c r="AA98" s="6"/>
      <c r="AB98" s="9"/>
      <c r="AC98" s="6"/>
      <c r="AD98" s="6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6"/>
      <c r="AT98" s="6"/>
      <c r="AY98" s="23"/>
      <c r="AZ98" s="4"/>
      <c r="BA98" s="5"/>
      <c r="BB98" s="4"/>
      <c r="BC98" s="4"/>
      <c r="BD98" s="4"/>
      <c r="BE98" s="5"/>
      <c r="BF98" s="5"/>
      <c r="BG98" s="5"/>
      <c r="BH98" s="4"/>
      <c r="BI98" s="4"/>
    </row>
    <row r="99" spans="2:61" x14ac:dyDescent="0.25">
      <c r="B99" s="6"/>
      <c r="D99" s="9"/>
      <c r="E99" s="6"/>
      <c r="F99" s="12"/>
      <c r="G99" s="6"/>
      <c r="K99" s="9"/>
      <c r="L99" s="17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6"/>
      <c r="Y99" s="9"/>
      <c r="Z99" s="9"/>
      <c r="AA99" s="6"/>
      <c r="AB99" s="9"/>
      <c r="AC99" s="6"/>
      <c r="AD99" s="6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6"/>
      <c r="AT99" s="6"/>
      <c r="AY99" s="23"/>
      <c r="AZ99" s="4"/>
      <c r="BA99" s="5"/>
      <c r="BB99" s="4"/>
      <c r="BC99" s="4"/>
      <c r="BD99" s="4"/>
      <c r="BE99" s="5"/>
      <c r="BF99" s="5"/>
      <c r="BG99" s="5"/>
      <c r="BH99" s="4"/>
      <c r="BI99" s="4"/>
    </row>
    <row r="100" spans="2:61" x14ac:dyDescent="0.25">
      <c r="B100" s="6"/>
      <c r="D100" s="9"/>
      <c r="E100" s="6"/>
      <c r="F100" s="12"/>
      <c r="G100" s="6"/>
      <c r="K100" s="9"/>
      <c r="L100" s="17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6"/>
      <c r="Y100" s="9"/>
      <c r="Z100" s="9"/>
      <c r="AA100" s="6"/>
      <c r="AB100" s="9"/>
      <c r="AC100" s="6"/>
      <c r="AD100" s="6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6"/>
      <c r="AT100" s="6"/>
      <c r="AY100" s="23"/>
      <c r="AZ100" s="4"/>
      <c r="BA100" s="5"/>
      <c r="BB100" s="4"/>
      <c r="BC100" s="4"/>
      <c r="BD100" s="4"/>
      <c r="BE100" s="5"/>
      <c r="BF100" s="5"/>
      <c r="BG100" s="5"/>
      <c r="BH100" s="4"/>
      <c r="BI100" s="4"/>
    </row>
    <row r="101" spans="2:61" x14ac:dyDescent="0.25">
      <c r="B101" s="6"/>
      <c r="D101" s="9"/>
      <c r="E101" s="6"/>
      <c r="F101" s="12"/>
      <c r="G101" s="6"/>
      <c r="K101" s="9"/>
      <c r="L101" s="17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6"/>
      <c r="Y101" s="9"/>
      <c r="Z101" s="9"/>
      <c r="AA101" s="6"/>
      <c r="AB101" s="9"/>
      <c r="AC101" s="6"/>
      <c r="AD101" s="6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6"/>
      <c r="AT101" s="6"/>
      <c r="AY101" s="23"/>
      <c r="AZ101" s="4"/>
      <c r="BA101" s="5"/>
      <c r="BB101" s="4"/>
      <c r="BC101" s="4"/>
      <c r="BD101" s="4"/>
      <c r="BE101" s="5"/>
      <c r="BF101" s="5"/>
      <c r="BG101" s="5"/>
      <c r="BH101" s="4"/>
      <c r="BI101" s="4"/>
    </row>
    <row r="102" spans="2:61" x14ac:dyDescent="0.25">
      <c r="B102" s="6"/>
      <c r="D102" s="9"/>
      <c r="E102" s="6"/>
      <c r="F102" s="12"/>
      <c r="G102" s="6"/>
      <c r="K102" s="9"/>
      <c r="L102" s="17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6"/>
      <c r="Y102" s="9"/>
      <c r="Z102" s="9"/>
      <c r="AA102" s="6"/>
      <c r="AB102" s="9"/>
      <c r="AC102" s="6"/>
      <c r="AD102" s="6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6"/>
      <c r="AT102" s="6"/>
      <c r="AY102" s="23"/>
      <c r="AZ102" s="4"/>
      <c r="BA102" s="5"/>
      <c r="BB102" s="4"/>
      <c r="BC102" s="4"/>
      <c r="BD102" s="4"/>
      <c r="BE102" s="5"/>
      <c r="BF102" s="5"/>
      <c r="BG102" s="5"/>
      <c r="BH102" s="4"/>
      <c r="BI102" s="4"/>
    </row>
    <row r="103" spans="2:61" x14ac:dyDescent="0.25">
      <c r="B103" s="6"/>
      <c r="D103" s="9"/>
      <c r="E103" s="6"/>
      <c r="F103" s="12"/>
      <c r="G103" s="6"/>
      <c r="K103" s="9"/>
      <c r="L103" s="17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6"/>
      <c r="Y103" s="9"/>
      <c r="Z103" s="9"/>
      <c r="AA103" s="6"/>
      <c r="AB103" s="9"/>
      <c r="AC103" s="6"/>
      <c r="AD103" s="6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6"/>
      <c r="AT103" s="6"/>
      <c r="AY103" s="23"/>
      <c r="AZ103" s="4"/>
      <c r="BA103" s="5"/>
      <c r="BB103" s="4"/>
      <c r="BC103" s="4"/>
      <c r="BD103" s="4"/>
      <c r="BE103" s="5"/>
      <c r="BF103" s="5"/>
      <c r="BG103" s="5"/>
      <c r="BH103" s="4"/>
      <c r="BI103" s="4"/>
    </row>
    <row r="104" spans="2:61" x14ac:dyDescent="0.25">
      <c r="B104" s="6"/>
      <c r="D104" s="9"/>
      <c r="E104" s="6"/>
      <c r="F104" s="12"/>
      <c r="G104" s="6"/>
      <c r="K104" s="9"/>
      <c r="L104" s="17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6"/>
      <c r="Y104" s="9"/>
      <c r="Z104" s="9"/>
      <c r="AA104" s="6"/>
      <c r="AB104" s="9"/>
      <c r="AC104" s="6"/>
      <c r="AD104" s="6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6"/>
      <c r="AT104" s="6"/>
      <c r="AY104" s="23"/>
      <c r="AZ104" s="4"/>
      <c r="BA104" s="5"/>
      <c r="BB104" s="4"/>
      <c r="BC104" s="4"/>
      <c r="BD104" s="4"/>
      <c r="BE104" s="5"/>
      <c r="BF104" s="5"/>
      <c r="BG104" s="5"/>
      <c r="BH104" s="4"/>
      <c r="BI104" s="4"/>
    </row>
    <row r="105" spans="2:61" x14ac:dyDescent="0.25">
      <c r="B105" s="6"/>
      <c r="D105" s="9"/>
      <c r="E105" s="6"/>
      <c r="F105" s="12"/>
      <c r="G105" s="6"/>
      <c r="K105" s="9"/>
      <c r="L105" s="17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6"/>
      <c r="Y105" s="9"/>
      <c r="Z105" s="9"/>
      <c r="AA105" s="6"/>
      <c r="AB105" s="9"/>
      <c r="AC105" s="6"/>
      <c r="AD105" s="6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6"/>
      <c r="AT105" s="6"/>
      <c r="AY105" s="23"/>
      <c r="AZ105" s="4"/>
      <c r="BA105" s="5"/>
      <c r="BB105" s="4"/>
      <c r="BC105" s="4"/>
      <c r="BD105" s="4"/>
      <c r="BE105" s="5"/>
      <c r="BF105" s="5"/>
      <c r="BG105" s="5"/>
      <c r="BH105" s="4"/>
      <c r="BI105" s="4"/>
    </row>
    <row r="106" spans="2:61" x14ac:dyDescent="0.25">
      <c r="B106" s="6"/>
      <c r="D106" s="9"/>
      <c r="E106" s="6"/>
      <c r="F106" s="12"/>
      <c r="G106" s="6"/>
      <c r="K106" s="9"/>
      <c r="L106" s="17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6"/>
      <c r="Y106" s="9"/>
      <c r="Z106" s="9"/>
      <c r="AA106" s="6"/>
      <c r="AB106" s="9"/>
      <c r="AC106" s="6"/>
      <c r="AD106" s="6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6"/>
      <c r="AT106" s="6"/>
      <c r="AY106" s="23"/>
      <c r="AZ106" s="4"/>
      <c r="BA106" s="5"/>
      <c r="BB106" s="4"/>
      <c r="BC106" s="4"/>
      <c r="BD106" s="4"/>
      <c r="BE106" s="5"/>
      <c r="BF106" s="5"/>
      <c r="BG106" s="5"/>
      <c r="BH106" s="4"/>
      <c r="BI106" s="4"/>
    </row>
  </sheetData>
  <sheetProtection algorithmName="SHA-512" hashValue="/g6F5/XoKIzE7NJVmI+ptCqFjzSVwG2+OB8Xuh4YO02Icn6xXWFSX8ChaC6s+MIAy0oelaUxiVDEvBkwJ3ZFaQ==" saltValue="gkfnQSOblkfo2+rJetwqWg==" spinCount="100000" sheet="1" objects="1" scenarios="1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EB54A-311F-410E-A0CE-363B0B0AFAF8}">
  <sheetPr codeName="Hoja3"/>
  <dimension ref="A1:D81"/>
  <sheetViews>
    <sheetView showGridLines="0" zoomScale="63" zoomScaleNormal="55" workbookViewId="0">
      <pane ySplit="1" topLeftCell="A2" activePane="bottomLeft" state="frozen"/>
      <selection pane="bottomLeft" activeCell="B3" sqref="B3"/>
    </sheetView>
  </sheetViews>
  <sheetFormatPr baseColWidth="10" defaultRowHeight="13.5" x14ac:dyDescent="0.25"/>
  <cols>
    <col min="1" max="1" width="64.4140625" customWidth="1"/>
    <col min="2" max="2" width="27" customWidth="1"/>
    <col min="3" max="3" width="17.9140625" customWidth="1"/>
  </cols>
  <sheetData>
    <row r="1" spans="1:4" ht="37" customHeight="1" x14ac:dyDescent="0.25">
      <c r="A1" s="2" t="s">
        <v>197</v>
      </c>
      <c r="B1" s="2" t="s">
        <v>198</v>
      </c>
      <c r="C1" s="10"/>
    </row>
    <row r="2" spans="1:4" ht="38.5" customHeight="1" x14ac:dyDescent="0.25">
      <c r="A2" t="s">
        <v>27</v>
      </c>
      <c r="B2" s="73">
        <v>100</v>
      </c>
    </row>
    <row r="3" spans="1:4" s="1" customFormat="1" ht="38.5" customHeight="1" x14ac:dyDescent="0.25">
      <c r="A3" t="s">
        <v>5</v>
      </c>
      <c r="B3" s="74">
        <v>1500</v>
      </c>
      <c r="C3" t="s">
        <v>25</v>
      </c>
    </row>
    <row r="4" spans="1:4" s="1" customFormat="1" ht="38.5" customHeight="1" x14ac:dyDescent="0.25">
      <c r="A4" t="s">
        <v>54</v>
      </c>
      <c r="B4" s="74">
        <v>1200</v>
      </c>
      <c r="C4" t="s">
        <v>25</v>
      </c>
    </row>
    <row r="5" spans="1:4" s="1" customFormat="1" ht="38.5" customHeight="1" x14ac:dyDescent="0.25">
      <c r="A5" t="s">
        <v>7</v>
      </c>
      <c r="B5" s="74">
        <v>500</v>
      </c>
      <c r="C5" t="s">
        <v>25</v>
      </c>
    </row>
    <row r="6" spans="1:4" s="1" customFormat="1" ht="38.5" customHeight="1" x14ac:dyDescent="0.25">
      <c r="A6" t="s">
        <v>48</v>
      </c>
      <c r="B6" s="74">
        <v>8</v>
      </c>
      <c r="C6" t="s">
        <v>73</v>
      </c>
    </row>
    <row r="7" spans="1:4" s="1" customFormat="1" ht="38.5" customHeight="1" x14ac:dyDescent="0.25">
      <c r="A7" t="s">
        <v>186</v>
      </c>
      <c r="B7" s="73">
        <v>260</v>
      </c>
      <c r="C7" t="s">
        <v>196</v>
      </c>
      <c r="D7" s="4"/>
    </row>
    <row r="8" spans="1:4" s="1" customFormat="1" ht="38.5" customHeight="1" x14ac:dyDescent="0.25">
      <c r="A8" t="s">
        <v>187</v>
      </c>
      <c r="B8" s="73"/>
      <c r="C8"/>
      <c r="D8" s="4"/>
    </row>
    <row r="9" spans="1:4" s="1" customFormat="1" ht="38.5" customHeight="1" x14ac:dyDescent="0.3">
      <c r="B9" s="45">
        <v>22</v>
      </c>
      <c r="C9" s="19" t="s">
        <v>28</v>
      </c>
      <c r="D9" s="4"/>
    </row>
    <row r="10" spans="1:4" s="1" customFormat="1" ht="38.5" customHeight="1" x14ac:dyDescent="0.3">
      <c r="B10" s="45">
        <v>4</v>
      </c>
      <c r="C10" s="19" t="s">
        <v>29</v>
      </c>
      <c r="D10" s="4"/>
    </row>
    <row r="11" spans="1:4" s="1" customFormat="1" ht="38.5" customHeight="1" x14ac:dyDescent="0.3">
      <c r="B11" s="45">
        <v>18</v>
      </c>
      <c r="C11" s="19" t="s">
        <v>30</v>
      </c>
      <c r="D11" s="4"/>
    </row>
    <row r="12" spans="1:4" ht="38.5" customHeight="1" x14ac:dyDescent="0.25">
      <c r="A12" t="s">
        <v>33</v>
      </c>
      <c r="B12" s="75">
        <v>3</v>
      </c>
    </row>
    <row r="13" spans="1:4" ht="38.5" customHeight="1" x14ac:dyDescent="0.25">
      <c r="A13" t="s">
        <v>188</v>
      </c>
      <c r="B13" s="73">
        <v>90</v>
      </c>
      <c r="C13" t="s">
        <v>189</v>
      </c>
    </row>
    <row r="14" spans="1:4" ht="38.5" customHeight="1" x14ac:dyDescent="0.25">
      <c r="A14" t="s">
        <v>49</v>
      </c>
      <c r="B14" s="75">
        <v>4</v>
      </c>
    </row>
    <row r="15" spans="1:4" ht="38.5" customHeight="1" x14ac:dyDescent="0.25">
      <c r="A15" t="s">
        <v>31</v>
      </c>
      <c r="B15" s="74">
        <v>1</v>
      </c>
      <c r="C15" t="s">
        <v>26</v>
      </c>
    </row>
    <row r="16" spans="1:4" ht="38.5" customHeight="1" x14ac:dyDescent="0.25">
      <c r="A16" t="s">
        <v>34</v>
      </c>
      <c r="B16" s="74">
        <v>1</v>
      </c>
      <c r="C16" t="s">
        <v>26</v>
      </c>
    </row>
    <row r="17" spans="1:3" ht="38.5" customHeight="1" x14ac:dyDescent="0.25">
      <c r="A17" t="s">
        <v>65</v>
      </c>
      <c r="B17" s="74">
        <v>750</v>
      </c>
      <c r="C17" t="s">
        <v>66</v>
      </c>
    </row>
    <row r="18" spans="1:3" ht="38.5" customHeight="1" x14ac:dyDescent="0.25">
      <c r="A18" t="s">
        <v>11</v>
      </c>
      <c r="B18" s="74">
        <v>3</v>
      </c>
    </row>
    <row r="19" spans="1:3" ht="38.5" customHeight="1" x14ac:dyDescent="0.25">
      <c r="A19" t="s">
        <v>22</v>
      </c>
      <c r="B19" s="74">
        <f>(B18*B17)/1000</f>
        <v>2.25</v>
      </c>
      <c r="C19" t="s">
        <v>51</v>
      </c>
    </row>
    <row r="20" spans="1:3" ht="38.5" customHeight="1" x14ac:dyDescent="0.25">
      <c r="A20" t="s">
        <v>190</v>
      </c>
      <c r="B20" s="73">
        <v>350</v>
      </c>
    </row>
    <row r="21" spans="1:3" ht="38.5" customHeight="1" x14ac:dyDescent="0.25">
      <c r="A21" t="s">
        <v>35</v>
      </c>
      <c r="B21" s="74">
        <v>0.3</v>
      </c>
      <c r="C21" t="s">
        <v>26</v>
      </c>
    </row>
    <row r="22" spans="1:3" ht="38.5" customHeight="1" x14ac:dyDescent="0.25">
      <c r="A22" t="s">
        <v>36</v>
      </c>
      <c r="B22" s="74">
        <v>1</v>
      </c>
      <c r="C22" t="s">
        <v>26</v>
      </c>
    </row>
    <row r="23" spans="1:3" ht="38.5" customHeight="1" x14ac:dyDescent="0.25">
      <c r="A23" t="s">
        <v>13</v>
      </c>
      <c r="B23" s="74">
        <v>2</v>
      </c>
      <c r="C23" t="s">
        <v>26</v>
      </c>
    </row>
    <row r="24" spans="1:3" ht="38.5" customHeight="1" x14ac:dyDescent="0.25">
      <c r="A24" t="s">
        <v>15</v>
      </c>
      <c r="B24" s="73">
        <v>65</v>
      </c>
    </row>
    <row r="25" spans="1:3" ht="38.5" customHeight="1" x14ac:dyDescent="0.25">
      <c r="A25" t="s">
        <v>40</v>
      </c>
      <c r="B25" s="73">
        <v>75</v>
      </c>
    </row>
    <row r="26" spans="1:3" ht="38.5" customHeight="1" x14ac:dyDescent="0.25">
      <c r="A26" t="s">
        <v>41</v>
      </c>
      <c r="B26" s="73">
        <v>125</v>
      </c>
    </row>
    <row r="27" spans="1:3" ht="38.5" customHeight="1" x14ac:dyDescent="0.25">
      <c r="A27" t="s">
        <v>42</v>
      </c>
      <c r="B27" s="73">
        <v>95</v>
      </c>
    </row>
    <row r="28" spans="1:3" ht="38.5" customHeight="1" x14ac:dyDescent="0.25">
      <c r="A28" t="s">
        <v>43</v>
      </c>
      <c r="B28" s="73">
        <v>45</v>
      </c>
    </row>
    <row r="29" spans="1:3" ht="38.5" customHeight="1" x14ac:dyDescent="0.25">
      <c r="A29" t="s">
        <v>45</v>
      </c>
      <c r="B29" s="4">
        <f>SUM(B30:B81)</f>
        <v>500</v>
      </c>
    </row>
    <row r="30" spans="1:3" ht="38.5" customHeight="1" x14ac:dyDescent="0.25">
      <c r="A30" s="74" t="s">
        <v>46</v>
      </c>
      <c r="B30" s="76">
        <v>200</v>
      </c>
    </row>
    <row r="31" spans="1:3" ht="38" customHeight="1" x14ac:dyDescent="0.25">
      <c r="A31" s="74" t="s">
        <v>149</v>
      </c>
      <c r="B31" s="76">
        <v>300</v>
      </c>
    </row>
    <row r="32" spans="1:3" ht="38" customHeight="1" x14ac:dyDescent="0.25">
      <c r="A32" s="74" t="s">
        <v>149</v>
      </c>
      <c r="B32" s="77"/>
    </row>
    <row r="33" spans="1:2" ht="38" customHeight="1" x14ac:dyDescent="0.25">
      <c r="A33" s="74" t="s">
        <v>149</v>
      </c>
      <c r="B33" s="77"/>
    </row>
    <row r="34" spans="1:2" ht="38" customHeight="1" x14ac:dyDescent="0.25">
      <c r="A34" s="74" t="s">
        <v>149</v>
      </c>
      <c r="B34" s="77"/>
    </row>
    <row r="35" spans="1:2" ht="38" customHeight="1" x14ac:dyDescent="0.25">
      <c r="A35" s="74" t="s">
        <v>149</v>
      </c>
      <c r="B35" s="77"/>
    </row>
    <row r="36" spans="1:2" ht="38" customHeight="1" x14ac:dyDescent="0.25">
      <c r="A36" s="74" t="s">
        <v>149</v>
      </c>
      <c r="B36" s="77"/>
    </row>
    <row r="37" spans="1:2" ht="38" customHeight="1" x14ac:dyDescent="0.25">
      <c r="A37" s="74" t="s">
        <v>149</v>
      </c>
      <c r="B37" s="77"/>
    </row>
    <row r="38" spans="1:2" ht="38" customHeight="1" x14ac:dyDescent="0.25">
      <c r="A38" s="74" t="s">
        <v>149</v>
      </c>
      <c r="B38" s="77"/>
    </row>
    <row r="39" spans="1:2" ht="38" customHeight="1" x14ac:dyDescent="0.25">
      <c r="A39" s="74" t="s">
        <v>149</v>
      </c>
      <c r="B39" s="77"/>
    </row>
    <row r="40" spans="1:2" ht="38" customHeight="1" x14ac:dyDescent="0.25">
      <c r="A40" s="74" t="s">
        <v>149</v>
      </c>
      <c r="B40" s="77"/>
    </row>
    <row r="41" spans="1:2" ht="38" customHeight="1" x14ac:dyDescent="0.25">
      <c r="A41" s="74" t="s">
        <v>149</v>
      </c>
      <c r="B41" s="77"/>
    </row>
    <row r="42" spans="1:2" ht="38" customHeight="1" x14ac:dyDescent="0.25">
      <c r="A42" s="74" t="s">
        <v>149</v>
      </c>
      <c r="B42" s="77"/>
    </row>
    <row r="43" spans="1:2" ht="38" customHeight="1" x14ac:dyDescent="0.25">
      <c r="A43" s="74" t="s">
        <v>149</v>
      </c>
      <c r="B43" s="77"/>
    </row>
    <row r="44" spans="1:2" ht="38" customHeight="1" x14ac:dyDescent="0.25">
      <c r="A44" s="74" t="s">
        <v>149</v>
      </c>
      <c r="B44" s="77"/>
    </row>
    <row r="45" spans="1:2" ht="38" customHeight="1" x14ac:dyDescent="0.25">
      <c r="A45" s="74" t="s">
        <v>149</v>
      </c>
      <c r="B45" s="77"/>
    </row>
    <row r="46" spans="1:2" ht="38" customHeight="1" x14ac:dyDescent="0.25">
      <c r="A46" s="74" t="s">
        <v>149</v>
      </c>
      <c r="B46" s="77"/>
    </row>
    <row r="47" spans="1:2" x14ac:dyDescent="0.25">
      <c r="A47" s="74"/>
      <c r="B47" s="77"/>
    </row>
    <row r="48" spans="1:2" x14ac:dyDescent="0.25">
      <c r="A48" s="74"/>
      <c r="B48" s="77"/>
    </row>
    <row r="49" spans="1:2" x14ac:dyDescent="0.25">
      <c r="A49" s="74"/>
      <c r="B49" s="77"/>
    </row>
    <row r="50" spans="1:2" x14ac:dyDescent="0.25">
      <c r="A50" s="74"/>
      <c r="B50" s="77"/>
    </row>
    <row r="51" spans="1:2" x14ac:dyDescent="0.25">
      <c r="A51" s="74"/>
      <c r="B51" s="77"/>
    </row>
    <row r="52" spans="1:2" x14ac:dyDescent="0.25">
      <c r="A52" s="74"/>
      <c r="B52" s="77"/>
    </row>
    <row r="53" spans="1:2" x14ac:dyDescent="0.25">
      <c r="A53" s="74"/>
      <c r="B53" s="77"/>
    </row>
    <row r="54" spans="1:2" x14ac:dyDescent="0.25">
      <c r="A54" s="74"/>
      <c r="B54" s="77"/>
    </row>
    <row r="55" spans="1:2" x14ac:dyDescent="0.25">
      <c r="A55" s="74"/>
      <c r="B55" s="77"/>
    </row>
    <row r="56" spans="1:2" x14ac:dyDescent="0.25">
      <c r="A56" s="74"/>
      <c r="B56" s="77"/>
    </row>
    <row r="57" spans="1:2" x14ac:dyDescent="0.25">
      <c r="A57" s="74"/>
      <c r="B57" s="77"/>
    </row>
    <row r="58" spans="1:2" x14ac:dyDescent="0.25">
      <c r="A58" s="74"/>
      <c r="B58" s="77"/>
    </row>
    <row r="59" spans="1:2" x14ac:dyDescent="0.25">
      <c r="A59" s="74"/>
      <c r="B59" s="77"/>
    </row>
    <row r="60" spans="1:2" x14ac:dyDescent="0.25">
      <c r="A60" s="74"/>
      <c r="B60" s="77"/>
    </row>
    <row r="61" spans="1:2" x14ac:dyDescent="0.25">
      <c r="A61" s="74"/>
      <c r="B61" s="77"/>
    </row>
    <row r="62" spans="1:2" x14ac:dyDescent="0.25">
      <c r="A62" s="74"/>
      <c r="B62" s="77"/>
    </row>
    <row r="63" spans="1:2" x14ac:dyDescent="0.25">
      <c r="A63" s="74"/>
      <c r="B63" s="77"/>
    </row>
    <row r="64" spans="1:2" x14ac:dyDescent="0.25">
      <c r="A64" s="74"/>
      <c r="B64" s="77"/>
    </row>
    <row r="65" spans="1:2" x14ac:dyDescent="0.25">
      <c r="A65" s="74"/>
      <c r="B65" s="77"/>
    </row>
    <row r="66" spans="1:2" x14ac:dyDescent="0.25">
      <c r="A66" s="74"/>
      <c r="B66" s="77"/>
    </row>
    <row r="67" spans="1:2" x14ac:dyDescent="0.25">
      <c r="A67" s="74"/>
      <c r="B67" s="77"/>
    </row>
    <row r="68" spans="1:2" x14ac:dyDescent="0.25">
      <c r="A68" s="74"/>
      <c r="B68" s="77"/>
    </row>
    <row r="69" spans="1:2" x14ac:dyDescent="0.25">
      <c r="A69" s="74"/>
      <c r="B69" s="77"/>
    </row>
    <row r="70" spans="1:2" x14ac:dyDescent="0.25">
      <c r="A70" s="74"/>
      <c r="B70" s="77"/>
    </row>
    <row r="71" spans="1:2" x14ac:dyDescent="0.25">
      <c r="A71" s="74"/>
      <c r="B71" s="77"/>
    </row>
    <row r="72" spans="1:2" x14ac:dyDescent="0.25">
      <c r="A72" s="74"/>
      <c r="B72" s="77"/>
    </row>
    <row r="73" spans="1:2" x14ac:dyDescent="0.25">
      <c r="A73" s="74"/>
      <c r="B73" s="77"/>
    </row>
    <row r="74" spans="1:2" x14ac:dyDescent="0.25">
      <c r="A74" s="74"/>
      <c r="B74" s="77"/>
    </row>
    <row r="75" spans="1:2" x14ac:dyDescent="0.25">
      <c r="A75" s="74"/>
      <c r="B75" s="77"/>
    </row>
    <row r="76" spans="1:2" x14ac:dyDescent="0.25">
      <c r="A76" s="74"/>
      <c r="B76" s="77"/>
    </row>
    <row r="77" spans="1:2" x14ac:dyDescent="0.25">
      <c r="A77" s="74"/>
      <c r="B77" s="77"/>
    </row>
    <row r="78" spans="1:2" x14ac:dyDescent="0.25">
      <c r="A78" s="74"/>
      <c r="B78" s="77"/>
    </row>
    <row r="79" spans="1:2" x14ac:dyDescent="0.25">
      <c r="A79" s="74"/>
      <c r="B79" s="77"/>
    </row>
    <row r="80" spans="1:2" x14ac:dyDescent="0.25">
      <c r="A80" s="74"/>
      <c r="B80" s="77"/>
    </row>
    <row r="81" spans="1:2" x14ac:dyDescent="0.25">
      <c r="A81" s="74"/>
      <c r="B81" s="77"/>
    </row>
  </sheetData>
  <sheetProtection algorithmName="SHA-512" hashValue="oFiGcQtWo23Ao2Td7wZKnkczOdPPY7jlV0x29wNLqVBwAG8afJmb5FhL6IL+HkwNkFz2a2F6elw95ZcPS4TSlA==" saltValue="y80IqIz+8YmuOTwzKXPI7A==" spinCount="100000" sheet="1" objects="1" scenarios="1"/>
  <autoFilter ref="A1:B1" xr:uid="{776EB54A-311F-410E-A0CE-363B0B0AFAF8}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78774-7745-4B0B-B1DD-58E3ABAFECB0}">
  <sheetPr codeName="Hoja71"/>
  <dimension ref="A1:C10"/>
  <sheetViews>
    <sheetView workbookViewId="0">
      <selection activeCell="A9" sqref="A9:XFD10"/>
    </sheetView>
  </sheetViews>
  <sheetFormatPr baseColWidth="10" defaultRowHeight="13.5" x14ac:dyDescent="0.25"/>
  <sheetData>
    <row r="1" spans="1:3" x14ac:dyDescent="0.25">
      <c r="A1" t="s">
        <v>134</v>
      </c>
      <c r="B1" t="s">
        <v>135</v>
      </c>
      <c r="C1" t="s">
        <v>136</v>
      </c>
    </row>
    <row r="2" spans="1:3" x14ac:dyDescent="0.25">
      <c r="A2" t="s">
        <v>74</v>
      </c>
      <c r="B2">
        <v>0.69873717000000002</v>
      </c>
      <c r="C2">
        <f>C$3*B2</f>
        <v>6987.3717000000006</v>
      </c>
    </row>
    <row r="3" spans="1:3" x14ac:dyDescent="0.25">
      <c r="A3" t="s">
        <v>24</v>
      </c>
      <c r="B3">
        <v>1</v>
      </c>
      <c r="C3">
        <v>10000</v>
      </c>
    </row>
    <row r="4" spans="1:3" x14ac:dyDescent="0.25">
      <c r="A4" t="s">
        <v>75</v>
      </c>
      <c r="B4">
        <v>4.3671069999999999E-2</v>
      </c>
      <c r="C4">
        <f>C$3*B4</f>
        <v>436.71069999999997</v>
      </c>
    </row>
    <row r="5" spans="1:3" x14ac:dyDescent="0.25">
      <c r="A5" t="s">
        <v>76</v>
      </c>
      <c r="B5">
        <v>6.25E-2</v>
      </c>
      <c r="C5">
        <f t="shared" ref="C5:C7" si="0">C$3*B5</f>
        <v>625</v>
      </c>
    </row>
    <row r="6" spans="1:3" x14ac:dyDescent="0.25">
      <c r="A6" t="s">
        <v>77</v>
      </c>
      <c r="B6">
        <v>7.1300000000000002E-2</v>
      </c>
      <c r="C6">
        <f t="shared" si="0"/>
        <v>713</v>
      </c>
    </row>
    <row r="7" spans="1:3" x14ac:dyDescent="0.25">
      <c r="A7" t="s">
        <v>78</v>
      </c>
      <c r="B7">
        <v>0.11155</v>
      </c>
      <c r="C7">
        <f t="shared" si="0"/>
        <v>1115.5</v>
      </c>
    </row>
    <row r="9" spans="1:3" x14ac:dyDescent="0.25">
      <c r="A9" t="s">
        <v>88</v>
      </c>
      <c r="C9">
        <f>_xlfn.XLOOKUP(UM,A2:A7,C2:C7)</f>
        <v>10000</v>
      </c>
    </row>
    <row r="10" spans="1:3" x14ac:dyDescent="0.25">
      <c r="A10" t="s">
        <v>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90404-A965-4224-A33F-8D69EB841429}">
  <sheetPr codeName="Hoja6"/>
  <dimension ref="B2:K39"/>
  <sheetViews>
    <sheetView zoomScale="70" workbookViewId="0">
      <selection activeCell="C23" sqref="C23"/>
    </sheetView>
  </sheetViews>
  <sheetFormatPr baseColWidth="10" defaultRowHeight="13.5" x14ac:dyDescent="0.25"/>
  <cols>
    <col min="2" max="2" width="23.08203125" customWidth="1"/>
    <col min="3" max="3" width="16.83203125" customWidth="1"/>
    <col min="4" max="4" width="22.4140625" customWidth="1"/>
  </cols>
  <sheetData>
    <row r="2" spans="2:6" x14ac:dyDescent="0.25">
      <c r="F2" t="s">
        <v>82</v>
      </c>
    </row>
    <row r="4" spans="2:6" x14ac:dyDescent="0.25">
      <c r="B4" t="s">
        <v>79</v>
      </c>
      <c r="C4" t="s">
        <v>0</v>
      </c>
      <c r="E4" t="s">
        <v>83</v>
      </c>
    </row>
    <row r="5" spans="2:6" x14ac:dyDescent="0.25">
      <c r="B5" t="s">
        <v>80</v>
      </c>
      <c r="C5">
        <v>3</v>
      </c>
      <c r="E5">
        <v>0</v>
      </c>
      <c r="F5" t="s">
        <v>84</v>
      </c>
    </row>
    <row r="6" spans="2:6" x14ac:dyDescent="0.25">
      <c r="B6" t="s">
        <v>80</v>
      </c>
      <c r="C6">
        <v>3</v>
      </c>
      <c r="E6">
        <v>1</v>
      </c>
      <c r="F6" t="s">
        <v>85</v>
      </c>
    </row>
    <row r="7" spans="2:6" x14ac:dyDescent="0.25">
      <c r="B7" t="s">
        <v>80</v>
      </c>
      <c r="C7">
        <v>3</v>
      </c>
      <c r="E7">
        <v>2</v>
      </c>
      <c r="F7" t="s">
        <v>86</v>
      </c>
    </row>
    <row r="8" spans="2:6" x14ac:dyDescent="0.25">
      <c r="B8" t="s">
        <v>80</v>
      </c>
      <c r="C8">
        <v>3</v>
      </c>
      <c r="E8">
        <v>3</v>
      </c>
      <c r="F8" t="s">
        <v>87</v>
      </c>
    </row>
    <row r="9" spans="2:6" x14ac:dyDescent="0.25">
      <c r="B9" t="s">
        <v>80</v>
      </c>
      <c r="C9">
        <v>3</v>
      </c>
      <c r="E9">
        <v>4</v>
      </c>
    </row>
    <row r="10" spans="2:6" x14ac:dyDescent="0.25">
      <c r="B10" t="s">
        <v>80</v>
      </c>
      <c r="C10">
        <v>3</v>
      </c>
      <c r="E10">
        <v>5</v>
      </c>
    </row>
    <row r="11" spans="2:6" x14ac:dyDescent="0.25">
      <c r="B11" t="s">
        <v>81</v>
      </c>
      <c r="C11">
        <v>3</v>
      </c>
    </row>
    <row r="12" spans="2:6" x14ac:dyDescent="0.25">
      <c r="B12" t="s">
        <v>81</v>
      </c>
      <c r="C12">
        <v>3</v>
      </c>
    </row>
    <row r="13" spans="2:6" x14ac:dyDescent="0.25">
      <c r="B13" t="s">
        <v>81</v>
      </c>
      <c r="C13">
        <v>3</v>
      </c>
    </row>
    <row r="14" spans="2:6" x14ac:dyDescent="0.25">
      <c r="B14" t="s">
        <v>81</v>
      </c>
    </row>
    <row r="15" spans="2:6" x14ac:dyDescent="0.25">
      <c r="B15" t="s">
        <v>81</v>
      </c>
    </row>
    <row r="17" spans="2:11" x14ac:dyDescent="0.25">
      <c r="C17">
        <v>3</v>
      </c>
      <c r="D17">
        <v>4</v>
      </c>
      <c r="E17">
        <v>5</v>
      </c>
      <c r="F17">
        <v>6</v>
      </c>
      <c r="I17" s="7">
        <v>0.2</v>
      </c>
    </row>
    <row r="18" spans="2:11" x14ac:dyDescent="0.25">
      <c r="B18" t="s">
        <v>20</v>
      </c>
      <c r="C18">
        <v>33.33</v>
      </c>
      <c r="D18">
        <v>50</v>
      </c>
      <c r="E18">
        <v>40</v>
      </c>
      <c r="F18">
        <v>33</v>
      </c>
    </row>
    <row r="19" spans="2:11" x14ac:dyDescent="0.25">
      <c r="B19" t="s">
        <v>115</v>
      </c>
      <c r="C19">
        <v>33.33</v>
      </c>
      <c r="D19">
        <v>25</v>
      </c>
      <c r="E19">
        <v>40</v>
      </c>
      <c r="F19">
        <v>50</v>
      </c>
      <c r="G19">
        <f>F18+F20</f>
        <v>49.665999999999997</v>
      </c>
    </row>
    <row r="20" spans="2:11" x14ac:dyDescent="0.25">
      <c r="B20" t="s">
        <v>116</v>
      </c>
      <c r="C20">
        <v>33.33</v>
      </c>
      <c r="D20">
        <v>25</v>
      </c>
      <c r="E20">
        <v>20</v>
      </c>
      <c r="F20">
        <v>16.666</v>
      </c>
    </row>
    <row r="21" spans="2:11" x14ac:dyDescent="0.25">
      <c r="C21">
        <f>SUM(C18:C20)</f>
        <v>99.99</v>
      </c>
      <c r="D21">
        <f t="shared" ref="D21:F21" si="0">SUM(D18:D20)</f>
        <v>100</v>
      </c>
      <c r="E21">
        <f t="shared" si="0"/>
        <v>100</v>
      </c>
      <c r="F21">
        <f t="shared" si="0"/>
        <v>99.665999999999997</v>
      </c>
    </row>
    <row r="25" spans="2:11" x14ac:dyDescent="0.25">
      <c r="B25" t="s">
        <v>117</v>
      </c>
      <c r="C25">
        <v>3</v>
      </c>
      <c r="D25">
        <v>4</v>
      </c>
      <c r="E25">
        <v>5</v>
      </c>
      <c r="F25">
        <v>6</v>
      </c>
    </row>
    <row r="26" spans="2:11" x14ac:dyDescent="0.25">
      <c r="B26" t="s">
        <v>20</v>
      </c>
      <c r="C26">
        <v>1</v>
      </c>
      <c r="D26" t="s">
        <v>119</v>
      </c>
      <c r="E26" t="s">
        <v>119</v>
      </c>
      <c r="F26" t="s">
        <v>121</v>
      </c>
      <c r="H26">
        <v>33</v>
      </c>
      <c r="I26">
        <v>50</v>
      </c>
      <c r="J26">
        <v>40</v>
      </c>
      <c r="K26">
        <v>33.33</v>
      </c>
    </row>
    <row r="27" spans="2:11" x14ac:dyDescent="0.25">
      <c r="B27" t="s">
        <v>115</v>
      </c>
      <c r="C27">
        <v>2</v>
      </c>
      <c r="D27">
        <v>3</v>
      </c>
      <c r="E27" t="s">
        <v>120</v>
      </c>
      <c r="F27" t="s">
        <v>122</v>
      </c>
      <c r="H27">
        <v>33</v>
      </c>
      <c r="I27">
        <v>25</v>
      </c>
      <c r="J27">
        <v>40</v>
      </c>
      <c r="K27">
        <v>50</v>
      </c>
    </row>
    <row r="28" spans="2:11" x14ac:dyDescent="0.25">
      <c r="B28" t="s">
        <v>118</v>
      </c>
      <c r="C28">
        <v>3</v>
      </c>
      <c r="D28">
        <v>4</v>
      </c>
      <c r="E28">
        <v>5</v>
      </c>
      <c r="F28">
        <v>6</v>
      </c>
      <c r="H28">
        <v>33</v>
      </c>
      <c r="I28">
        <v>25</v>
      </c>
      <c r="J28">
        <v>20</v>
      </c>
      <c r="K28">
        <v>16.666</v>
      </c>
    </row>
    <row r="31" spans="2:11" x14ac:dyDescent="0.25">
      <c r="H31" t="s">
        <v>129</v>
      </c>
      <c r="I31" t="s">
        <v>130</v>
      </c>
      <c r="J31" t="s">
        <v>131</v>
      </c>
      <c r="K31" t="s">
        <v>132</v>
      </c>
    </row>
    <row r="32" spans="2:11" x14ac:dyDescent="0.25">
      <c r="G32" t="s">
        <v>123</v>
      </c>
      <c r="H32">
        <v>33.33</v>
      </c>
      <c r="I32">
        <v>25</v>
      </c>
      <c r="J32">
        <v>20</v>
      </c>
      <c r="K32">
        <v>16.666599999999999</v>
      </c>
    </row>
    <row r="33" spans="7:11" x14ac:dyDescent="0.25">
      <c r="G33" t="s">
        <v>124</v>
      </c>
      <c r="H33">
        <v>33.33</v>
      </c>
      <c r="I33">
        <v>25</v>
      </c>
      <c r="J33">
        <v>20</v>
      </c>
      <c r="K33">
        <v>16.666599999999999</v>
      </c>
    </row>
    <row r="34" spans="7:11" x14ac:dyDescent="0.25">
      <c r="G34" t="s">
        <v>125</v>
      </c>
      <c r="H34">
        <v>33.33</v>
      </c>
      <c r="I34">
        <v>25</v>
      </c>
      <c r="J34">
        <v>20</v>
      </c>
      <c r="K34">
        <v>16.666599999999999</v>
      </c>
    </row>
    <row r="35" spans="7:11" x14ac:dyDescent="0.25">
      <c r="G35" t="s">
        <v>126</v>
      </c>
      <c r="I35">
        <v>25</v>
      </c>
      <c r="J35">
        <v>20</v>
      </c>
      <c r="K35">
        <v>16.666599999999999</v>
      </c>
    </row>
    <row r="36" spans="7:11" x14ac:dyDescent="0.25">
      <c r="G36" t="s">
        <v>127</v>
      </c>
      <c r="J36">
        <v>20</v>
      </c>
      <c r="K36">
        <v>16.666599999999999</v>
      </c>
    </row>
    <row r="37" spans="7:11" x14ac:dyDescent="0.25">
      <c r="G37" t="s">
        <v>128</v>
      </c>
      <c r="K37">
        <v>16.666599999999999</v>
      </c>
    </row>
    <row r="39" spans="7:11" x14ac:dyDescent="0.25">
      <c r="G39" t="s">
        <v>133</v>
      </c>
      <c r="H39">
        <f>SUM(H32:H38)</f>
        <v>99.99</v>
      </c>
      <c r="I39">
        <f t="shared" ref="I39:K39" si="1">SUM(I32:I38)</f>
        <v>100</v>
      </c>
      <c r="J39">
        <f t="shared" si="1"/>
        <v>100</v>
      </c>
      <c r="K39">
        <f t="shared" si="1"/>
        <v>99.999600000000001</v>
      </c>
    </row>
  </sheetData>
  <phoneticPr fontId="1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984EF-C745-46E9-958F-E4ACBC26C80B}">
  <sheetPr codeName="Hoja5"/>
  <dimension ref="A1:H9"/>
  <sheetViews>
    <sheetView showGridLines="0" workbookViewId="0">
      <selection activeCell="H10" sqref="H10"/>
    </sheetView>
  </sheetViews>
  <sheetFormatPr baseColWidth="10" defaultRowHeight="13.5" x14ac:dyDescent="0.25"/>
  <sheetData>
    <row r="1" spans="1:8" x14ac:dyDescent="0.25">
      <c r="A1" t="s">
        <v>2</v>
      </c>
      <c r="B1" t="s">
        <v>3</v>
      </c>
      <c r="C1" t="s">
        <v>4</v>
      </c>
      <c r="F1" s="8" t="s">
        <v>140</v>
      </c>
      <c r="H1" t="s">
        <v>252</v>
      </c>
    </row>
    <row r="2" spans="1:8" x14ac:dyDescent="0.25">
      <c r="A2" s="9">
        <v>1</v>
      </c>
      <c r="B2" s="9">
        <v>1</v>
      </c>
      <c r="C2" s="9">
        <v>1</v>
      </c>
      <c r="D2" s="9"/>
      <c r="H2" t="s">
        <v>253</v>
      </c>
    </row>
    <row r="3" spans="1:8" x14ac:dyDescent="0.25">
      <c r="A3" s="9">
        <v>2</v>
      </c>
      <c r="B3" s="9">
        <v>2</v>
      </c>
      <c r="C3" s="9">
        <v>2</v>
      </c>
      <c r="D3" s="9"/>
      <c r="H3" t="s">
        <v>254</v>
      </c>
    </row>
    <row r="4" spans="1:8" x14ac:dyDescent="0.25">
      <c r="A4" s="9">
        <v>3</v>
      </c>
      <c r="B4" s="9">
        <v>3</v>
      </c>
      <c r="C4" s="9">
        <v>3</v>
      </c>
      <c r="D4" s="9"/>
      <c r="H4" t="s">
        <v>255</v>
      </c>
    </row>
    <row r="5" spans="1:8" x14ac:dyDescent="0.25">
      <c r="A5" s="9" t="s">
        <v>169</v>
      </c>
      <c r="B5" s="9">
        <v>4</v>
      </c>
      <c r="C5" s="9">
        <v>4</v>
      </c>
      <c r="D5" s="9"/>
      <c r="H5" t="s">
        <v>256</v>
      </c>
    </row>
    <row r="6" spans="1:8" x14ac:dyDescent="0.25">
      <c r="A6" s="9"/>
      <c r="B6" s="9" t="s">
        <v>169</v>
      </c>
      <c r="C6" s="9">
        <v>5</v>
      </c>
      <c r="D6" s="9"/>
      <c r="H6" t="s">
        <v>257</v>
      </c>
    </row>
    <row r="7" spans="1:8" x14ac:dyDescent="0.25">
      <c r="C7" t="s">
        <v>169</v>
      </c>
      <c r="D7" s="9"/>
      <c r="H7" t="s">
        <v>258</v>
      </c>
    </row>
    <row r="8" spans="1:8" x14ac:dyDescent="0.25">
      <c r="H8" t="s">
        <v>259</v>
      </c>
    </row>
    <row r="9" spans="1:8" x14ac:dyDescent="0.25">
      <c r="H9" t="s">
        <v>260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4FD40F88E8BE4B95FAAFB8ABA7CC57" ma:contentTypeVersion="16" ma:contentTypeDescription="Crear nuevo documento." ma:contentTypeScope="" ma:versionID="fc42a71eca6948b62b64388f0e2e5171">
  <xsd:schema xmlns:xsd="http://www.w3.org/2001/XMLSchema" xmlns:xs="http://www.w3.org/2001/XMLSchema" xmlns:p="http://schemas.microsoft.com/office/2006/metadata/properties" xmlns:ns2="f47b9fb0-7149-4fd9-9c76-453e83d2c205" xmlns:ns3="901d57b1-4339-4dee-a822-a4ea84590142" targetNamespace="http://schemas.microsoft.com/office/2006/metadata/properties" ma:root="true" ma:fieldsID="248b3ea7e238506de210814dd4d71e8e" ns2:_="" ns3:_="">
    <xsd:import namespace="f47b9fb0-7149-4fd9-9c76-453e83d2c205"/>
    <xsd:import namespace="901d57b1-4339-4dee-a822-a4ea845901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7b9fb0-7149-4fd9-9c76-453e83d2c2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b97c578c-cad8-4343-8e96-81cc53110e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d57b1-4339-4dee-a822-a4ea845901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df17807-b08d-4894-9b26-9b666e533762}" ma:internalName="TaxCatchAll" ma:showField="CatchAllData" ma:web="901d57b1-4339-4dee-a822-a4ea845901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FE63D1-DF9C-43D7-A99A-E375B6CD03EC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25BE344C-C003-4A40-82AC-F5DE17024F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1C66E2-FBA1-4F03-996B-2EC16F4A52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7b9fb0-7149-4fd9-9c76-453e83d2c205"/>
    <ds:schemaRef ds:uri="901d57b1-4339-4dee-a822-a4ea845901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78</vt:i4>
      </vt:variant>
    </vt:vector>
  </HeadingPairs>
  <TitlesOfParts>
    <vt:vector size="88" baseType="lpstr">
      <vt:lpstr>Datos</vt:lpstr>
      <vt:lpstr>Presupuesto Detallado</vt:lpstr>
      <vt:lpstr>Presupuesto por Lote</vt:lpstr>
      <vt:lpstr>Ejecución Presupuestaria</vt:lpstr>
      <vt:lpstr>Cronograma</vt:lpstr>
      <vt:lpstr>Hoja5</vt:lpstr>
      <vt:lpstr>Eficiencias &amp; Configuración</vt:lpstr>
      <vt:lpstr>Hoja1</vt:lpstr>
      <vt:lpstr>Hoja2</vt:lpstr>
      <vt:lpstr>Ciclos</vt:lpstr>
      <vt:lpstr>_3_Años</vt:lpstr>
      <vt:lpstr>_4_Años</vt:lpstr>
      <vt:lpstr>_5_Años</vt:lpstr>
      <vt:lpstr>_6_Años</vt:lpstr>
      <vt:lpstr>Actividad_Ex</vt:lpstr>
      <vt:lpstr>Actividades</vt:lpstr>
      <vt:lpstr>Administrativos</vt:lpstr>
      <vt:lpstr>Aplicaciones_CYP</vt:lpstr>
      <vt:lpstr>Aplicaciones_SC</vt:lpstr>
      <vt:lpstr>Aplicaciones_SP</vt:lpstr>
      <vt:lpstr>Cronograma!Área_de_impresión</vt:lpstr>
      <vt:lpstr>Áreas</vt:lpstr>
      <vt:lpstr>Ciclo</vt:lpstr>
      <vt:lpstr>Hoja5!Cosecha</vt:lpstr>
      <vt:lpstr>Cosecha</vt:lpstr>
      <vt:lpstr>Cosecha_y_Poscosecha</vt:lpstr>
      <vt:lpstr>Costo_Fertilizante</vt:lpstr>
      <vt:lpstr>Costo_Fungicida</vt:lpstr>
      <vt:lpstr>Costo_Herbicida</vt:lpstr>
      <vt:lpstr>Deshije</vt:lpstr>
      <vt:lpstr>Detalle_Ex</vt:lpstr>
      <vt:lpstr>'Presupuesto Detallado'!Detalle_Lote</vt:lpstr>
      <vt:lpstr>Detalle_Lote</vt:lpstr>
      <vt:lpstr>Diseños</vt:lpstr>
      <vt:lpstr>Dosis_CYP</vt:lpstr>
      <vt:lpstr>Dosis_SC</vt:lpstr>
      <vt:lpstr>Dosis_SP</vt:lpstr>
      <vt:lpstr>Enfermedades_Crecimiento</vt:lpstr>
      <vt:lpstr>Enfermedades_Producción</vt:lpstr>
      <vt:lpstr>Fertilizante_Crecimiento</vt:lpstr>
      <vt:lpstr>Fertilizante_CyP</vt:lpstr>
      <vt:lpstr>Fertilizante_Produccion</vt:lpstr>
      <vt:lpstr>Formula_K</vt:lpstr>
      <vt:lpstr>Formula_N</vt:lpstr>
      <vt:lpstr>Formula_P</vt:lpstr>
      <vt:lpstr>Fungicida</vt:lpstr>
      <vt:lpstr>Gastos_Administrativos</vt:lpstr>
      <vt:lpstr>Hoja5!Ingresos</vt:lpstr>
      <vt:lpstr>Ingresos</vt:lpstr>
      <vt:lpstr>Inicio</vt:lpstr>
      <vt:lpstr>Jornal</vt:lpstr>
      <vt:lpstr>Jornales</vt:lpstr>
      <vt:lpstr>Litros_Fungicida</vt:lpstr>
      <vt:lpstr>Litros_Herbicida</vt:lpstr>
      <vt:lpstr>Lotes</vt:lpstr>
      <vt:lpstr>Manejo_de_malezas</vt:lpstr>
      <vt:lpstr>Manejo_de_plagas_y_enfermedades</vt:lpstr>
      <vt:lpstr>Metros2</vt:lpstr>
      <vt:lpstr>MO_Crecimiento</vt:lpstr>
      <vt:lpstr>MO_Enfermedades_Crec.</vt:lpstr>
      <vt:lpstr>MO_Enfermedades_Prod.</vt:lpstr>
      <vt:lpstr>MO_Malezas_Quimico</vt:lpstr>
      <vt:lpstr>MO_Nutrición</vt:lpstr>
      <vt:lpstr>MO_Plagas</vt:lpstr>
      <vt:lpstr>Nutrición</vt:lpstr>
      <vt:lpstr>Onzas_Anual_CYP</vt:lpstr>
      <vt:lpstr>Onzas_Anual_SC</vt:lpstr>
      <vt:lpstr>Onzas_Anual_SP</vt:lpstr>
      <vt:lpstr>Paliativo</vt:lpstr>
      <vt:lpstr>Plantas_Deshije_Por_Dia</vt:lpstr>
      <vt:lpstr>Plantas_Paliativa_Por_Dia</vt:lpstr>
      <vt:lpstr>Plantas_Poda_Por_Dia</vt:lpstr>
      <vt:lpstr>Poda</vt:lpstr>
      <vt:lpstr>Porcentaje_Efectivo</vt:lpstr>
      <vt:lpstr>Poscosecha</vt:lpstr>
      <vt:lpstr>Precio_Venta_Inferior</vt:lpstr>
      <vt:lpstr>Precio_Venta_Primera</vt:lpstr>
      <vt:lpstr>Precio_Venta_Segunda</vt:lpstr>
      <vt:lpstr>Precosecha</vt:lpstr>
      <vt:lpstr>Producción</vt:lpstr>
      <vt:lpstr>Quintales_Fertilizante</vt:lpstr>
      <vt:lpstr>Quintales_Fertilizante_Por_Jornal</vt:lpstr>
      <vt:lpstr>SMT</vt:lpstr>
      <vt:lpstr>Total_Administrativo</vt:lpstr>
      <vt:lpstr>Total_Costos</vt:lpstr>
      <vt:lpstr>UM</vt:lpstr>
      <vt:lpstr>Valor_Ex</vt:lpstr>
      <vt:lpstr>Ventas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Oscar Orlando Orozco Orozco</dc:creator>
  <cp:keywords/>
  <dc:description/>
  <cp:lastModifiedBy>Oscar Orlando Orozco Orozco</cp:lastModifiedBy>
  <cp:revision/>
  <cp:lastPrinted>2024-08-05T00:43:20Z</cp:lastPrinted>
  <dcterms:created xsi:type="dcterms:W3CDTF">2024-04-22T19:39:48Z</dcterms:created>
  <dcterms:modified xsi:type="dcterms:W3CDTF">2024-08-07T18:25:17Z</dcterms:modified>
  <cp:category/>
  <cp:contentStatus/>
</cp:coreProperties>
</file>